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Gastos\"/>
    </mc:Choice>
  </mc:AlternateContent>
  <bookViews>
    <workbookView xWindow="0" yWindow="0" windowWidth="20400" windowHeight="7455"/>
  </bookViews>
  <sheets>
    <sheet name="NOVIEM" sheetId="1" r:id="rId1"/>
  </sheets>
  <externalReferences>
    <externalReference r:id="rId2"/>
    <externalReference r:id="rId3"/>
  </externalReferences>
  <definedNames>
    <definedName name="_xlnm.Print_Area" localSheetId="0">NOVIEM!$A$1:$AA$92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4" i="1" l="1"/>
  <c r="Z84" i="1" s="1"/>
  <c r="W84" i="1"/>
  <c r="T84" i="1"/>
  <c r="N84" i="1"/>
  <c r="P84" i="1" s="1"/>
  <c r="M84" i="1"/>
  <c r="L84" i="1"/>
  <c r="J84" i="1"/>
  <c r="K84" i="1" s="1"/>
  <c r="D84" i="1"/>
  <c r="Y83" i="1"/>
  <c r="V83" i="1"/>
  <c r="T83" i="1"/>
  <c r="S83" i="1"/>
  <c r="Q83" i="1"/>
  <c r="O83" i="1"/>
  <c r="N83" i="1"/>
  <c r="P83" i="1" s="1"/>
  <c r="M83" i="1"/>
  <c r="L83" i="1"/>
  <c r="J83" i="1"/>
  <c r="K83" i="1" s="1"/>
  <c r="G83" i="1"/>
  <c r="F83" i="1"/>
  <c r="E83" i="1"/>
  <c r="D83" i="1"/>
  <c r="H83" i="1" s="1"/>
  <c r="C83" i="1"/>
  <c r="B83" i="1"/>
  <c r="A83" i="1"/>
  <c r="Y82" i="1"/>
  <c r="Z82" i="1" s="1"/>
  <c r="V82" i="1"/>
  <c r="T82" i="1"/>
  <c r="S82" i="1"/>
  <c r="Q82" i="1"/>
  <c r="O82" i="1"/>
  <c r="N82" i="1"/>
  <c r="P82" i="1" s="1"/>
  <c r="AA82" i="1" s="1"/>
  <c r="M82" i="1"/>
  <c r="L82" i="1"/>
  <c r="J82" i="1"/>
  <c r="K82" i="1" s="1"/>
  <c r="G82" i="1"/>
  <c r="F82" i="1"/>
  <c r="E82" i="1"/>
  <c r="D82" i="1"/>
  <c r="H82" i="1" s="1"/>
  <c r="C82" i="1"/>
  <c r="B82" i="1"/>
  <c r="A82" i="1"/>
  <c r="Y81" i="1"/>
  <c r="T81" i="1"/>
  <c r="V81" i="1" s="1"/>
  <c r="S81" i="1"/>
  <c r="Q81" i="1"/>
  <c r="O81" i="1"/>
  <c r="N81" i="1"/>
  <c r="P81" i="1" s="1"/>
  <c r="AA81" i="1" s="1"/>
  <c r="M81" i="1"/>
  <c r="L81" i="1"/>
  <c r="K81" i="1"/>
  <c r="J81" i="1"/>
  <c r="G81" i="1"/>
  <c r="F81" i="1"/>
  <c r="E81" i="1"/>
  <c r="D81" i="1"/>
  <c r="C81" i="1"/>
  <c r="H81" i="1" s="1"/>
  <c r="R81" i="1" s="1"/>
  <c r="AB81" i="1" s="1"/>
  <c r="B81" i="1"/>
  <c r="A81" i="1"/>
  <c r="Y80" i="1"/>
  <c r="T80" i="1"/>
  <c r="V80" i="1" s="1"/>
  <c r="W80" i="1" s="1"/>
  <c r="S80" i="1"/>
  <c r="Q80" i="1"/>
  <c r="O80" i="1"/>
  <c r="N80" i="1"/>
  <c r="P80" i="1" s="1"/>
  <c r="AA80" i="1" s="1"/>
  <c r="M80" i="1"/>
  <c r="L80" i="1"/>
  <c r="K80" i="1"/>
  <c r="J80" i="1"/>
  <c r="G80" i="1"/>
  <c r="F80" i="1"/>
  <c r="E80" i="1"/>
  <c r="D80" i="1"/>
  <c r="C80" i="1"/>
  <c r="H80" i="1" s="1"/>
  <c r="B80" i="1"/>
  <c r="A80" i="1"/>
  <c r="Y79" i="1"/>
  <c r="Z79" i="1" s="1"/>
  <c r="T79" i="1"/>
  <c r="V79" i="1" s="1"/>
  <c r="W79" i="1" s="1"/>
  <c r="S79" i="1"/>
  <c r="Q79" i="1"/>
  <c r="O79" i="1"/>
  <c r="N79" i="1"/>
  <c r="P79" i="1" s="1"/>
  <c r="AA79" i="1" s="1"/>
  <c r="M79" i="1"/>
  <c r="L79" i="1"/>
  <c r="K79" i="1"/>
  <c r="J79" i="1"/>
  <c r="G79" i="1"/>
  <c r="F79" i="1"/>
  <c r="E79" i="1"/>
  <c r="D79" i="1"/>
  <c r="C79" i="1"/>
  <c r="H79" i="1" s="1"/>
  <c r="B79" i="1"/>
  <c r="A79" i="1"/>
  <c r="Y78" i="1"/>
  <c r="Z78" i="1" s="1"/>
  <c r="T78" i="1"/>
  <c r="V78" i="1" s="1"/>
  <c r="S78" i="1"/>
  <c r="Q78" i="1"/>
  <c r="O78" i="1"/>
  <c r="O77" i="1" s="1"/>
  <c r="O76" i="1" s="1"/>
  <c r="O74" i="1" s="1"/>
  <c r="O73" i="1" s="1"/>
  <c r="N78" i="1"/>
  <c r="P78" i="1" s="1"/>
  <c r="M78" i="1"/>
  <c r="K78" i="1"/>
  <c r="K77" i="1" s="1"/>
  <c r="J78" i="1"/>
  <c r="J77" i="1" s="1"/>
  <c r="J76" i="1" s="1"/>
  <c r="J74" i="1" s="1"/>
  <c r="J73" i="1" s="1"/>
  <c r="G78" i="1"/>
  <c r="F78" i="1"/>
  <c r="F77" i="1" s="1"/>
  <c r="F76" i="1" s="1"/>
  <c r="F74" i="1" s="1"/>
  <c r="F73" i="1" s="1"/>
  <c r="E78" i="1"/>
  <c r="D78" i="1"/>
  <c r="C78" i="1"/>
  <c r="H78" i="1" s="1"/>
  <c r="B78" i="1"/>
  <c r="A78" i="1"/>
  <c r="Y77" i="1"/>
  <c r="Y76" i="1" s="1"/>
  <c r="X77" i="1"/>
  <c r="X76" i="1" s="1"/>
  <c r="X74" i="1" s="1"/>
  <c r="X73" i="1" s="1"/>
  <c r="U77" i="1"/>
  <c r="U76" i="1" s="1"/>
  <c r="U74" i="1" s="1"/>
  <c r="U73" i="1" s="1"/>
  <c r="T77" i="1"/>
  <c r="T76" i="1" s="1"/>
  <c r="T74" i="1" s="1"/>
  <c r="T73" i="1" s="1"/>
  <c r="M77" i="1"/>
  <c r="M76" i="1" s="1"/>
  <c r="M74" i="1" s="1"/>
  <c r="M73" i="1" s="1"/>
  <c r="I77" i="1"/>
  <c r="I76" i="1" s="1"/>
  <c r="I74" i="1" s="1"/>
  <c r="I73" i="1" s="1"/>
  <c r="G77" i="1"/>
  <c r="E77" i="1"/>
  <c r="E76" i="1" s="1"/>
  <c r="E74" i="1" s="1"/>
  <c r="E73" i="1" s="1"/>
  <c r="D77" i="1"/>
  <c r="D76" i="1" s="1"/>
  <c r="D74" i="1" s="1"/>
  <c r="D73" i="1" s="1"/>
  <c r="C77" i="1"/>
  <c r="G76" i="1"/>
  <c r="C76" i="1"/>
  <c r="C75" i="1"/>
  <c r="B75" i="1"/>
  <c r="A75" i="1"/>
  <c r="G74" i="1"/>
  <c r="C74" i="1"/>
  <c r="G73" i="1"/>
  <c r="C73" i="1"/>
  <c r="X72" i="1"/>
  <c r="X69" i="1" s="1"/>
  <c r="V72" i="1"/>
  <c r="T72" i="1"/>
  <c r="P72" i="1"/>
  <c r="N72" i="1"/>
  <c r="K72" i="1"/>
  <c r="L72" i="1" s="1"/>
  <c r="H72" i="1"/>
  <c r="M72" i="1" s="1"/>
  <c r="E72" i="1"/>
  <c r="Y71" i="1"/>
  <c r="V71" i="1"/>
  <c r="U71" i="1"/>
  <c r="T71" i="1"/>
  <c r="K71" i="1"/>
  <c r="I71" i="1"/>
  <c r="N71" i="1" s="1"/>
  <c r="P71" i="1" s="1"/>
  <c r="Q71" i="1" s="1"/>
  <c r="H71" i="1"/>
  <c r="M71" i="1" s="1"/>
  <c r="Y70" i="1"/>
  <c r="Z70" i="1" s="1"/>
  <c r="V70" i="1"/>
  <c r="T70" i="1"/>
  <c r="N70" i="1"/>
  <c r="I70" i="1"/>
  <c r="K70" i="1" s="1"/>
  <c r="H70" i="1"/>
  <c r="W70" i="1" s="1"/>
  <c r="U69" i="1"/>
  <c r="T69" i="1"/>
  <c r="O69" i="1"/>
  <c r="J69" i="1"/>
  <c r="I69" i="1"/>
  <c r="I66" i="1" s="1"/>
  <c r="I65" i="1" s="1"/>
  <c r="I64" i="1" s="1"/>
  <c r="I63" i="1" s="1"/>
  <c r="G69" i="1"/>
  <c r="F69" i="1"/>
  <c r="E69" i="1"/>
  <c r="E66" i="1" s="1"/>
  <c r="D69" i="1"/>
  <c r="C69" i="1"/>
  <c r="Z68" i="1"/>
  <c r="Y68" i="1"/>
  <c r="X68" i="1"/>
  <c r="W68" i="1"/>
  <c r="V68" i="1"/>
  <c r="T68" i="1"/>
  <c r="M68" i="1"/>
  <c r="K68" i="1"/>
  <c r="I68" i="1"/>
  <c r="N68" i="1" s="1"/>
  <c r="P68" i="1" s="1"/>
  <c r="Q68" i="1" s="1"/>
  <c r="H68" i="1"/>
  <c r="Y67" i="1"/>
  <c r="V67" i="1"/>
  <c r="U67" i="1"/>
  <c r="U66" i="1" s="1"/>
  <c r="T67" i="1"/>
  <c r="M67" i="1"/>
  <c r="I67" i="1"/>
  <c r="N67" i="1" s="1"/>
  <c r="H67" i="1"/>
  <c r="X66" i="1"/>
  <c r="T66" i="1"/>
  <c r="T65" i="1" s="1"/>
  <c r="T64" i="1" s="1"/>
  <c r="T63" i="1" s="1"/>
  <c r="O66" i="1"/>
  <c r="O65" i="1" s="1"/>
  <c r="O64" i="1" s="1"/>
  <c r="J66" i="1"/>
  <c r="J65" i="1" s="1"/>
  <c r="J64" i="1" s="1"/>
  <c r="J63" i="1" s="1"/>
  <c r="G66" i="1"/>
  <c r="G65" i="1" s="1"/>
  <c r="G64" i="1" s="1"/>
  <c r="F66" i="1"/>
  <c r="F65" i="1" s="1"/>
  <c r="F64" i="1" s="1"/>
  <c r="F63" i="1" s="1"/>
  <c r="D66" i="1"/>
  <c r="D65" i="1" s="1"/>
  <c r="D64" i="1" s="1"/>
  <c r="D63" i="1" s="1"/>
  <c r="C66" i="1"/>
  <c r="C65" i="1" s="1"/>
  <c r="C64" i="1" s="1"/>
  <c r="X65" i="1"/>
  <c r="X64" i="1" s="1"/>
  <c r="X63" i="1" s="1"/>
  <c r="U65" i="1"/>
  <c r="U64" i="1" s="1"/>
  <c r="U63" i="1" s="1"/>
  <c r="E65" i="1"/>
  <c r="E64" i="1" s="1"/>
  <c r="E63" i="1" s="1"/>
  <c r="O63" i="1"/>
  <c r="G63" i="1"/>
  <c r="C63" i="1"/>
  <c r="Y62" i="1"/>
  <c r="X62" i="1"/>
  <c r="T62" i="1"/>
  <c r="V62" i="1" s="1"/>
  <c r="W62" i="1" s="1"/>
  <c r="N62" i="1"/>
  <c r="P62" i="1" s="1"/>
  <c r="I62" i="1"/>
  <c r="K62" i="1" s="1"/>
  <c r="L62" i="1" s="1"/>
  <c r="H62" i="1"/>
  <c r="M62" i="1" s="1"/>
  <c r="X61" i="1"/>
  <c r="Y61" i="1" s="1"/>
  <c r="V61" i="1"/>
  <c r="V60" i="1" s="1"/>
  <c r="T61" i="1"/>
  <c r="I61" i="1"/>
  <c r="K61" i="1" s="1"/>
  <c r="H61" i="1"/>
  <c r="W61" i="1" s="1"/>
  <c r="X60" i="1"/>
  <c r="X59" i="1" s="1"/>
  <c r="U60" i="1"/>
  <c r="T60" i="1"/>
  <c r="T59" i="1" s="1"/>
  <c r="O60" i="1"/>
  <c r="O59" i="1" s="1"/>
  <c r="J60" i="1"/>
  <c r="I60" i="1"/>
  <c r="H60" i="1"/>
  <c r="H59" i="1" s="1"/>
  <c r="G60" i="1"/>
  <c r="G59" i="1" s="1"/>
  <c r="F60" i="1"/>
  <c r="E60" i="1"/>
  <c r="D60" i="1"/>
  <c r="D59" i="1" s="1"/>
  <c r="C60" i="1"/>
  <c r="C59" i="1" s="1"/>
  <c r="U59" i="1"/>
  <c r="J59" i="1"/>
  <c r="I59" i="1"/>
  <c r="F59" i="1"/>
  <c r="E59" i="1"/>
  <c r="AA58" i="1"/>
  <c r="Y58" i="1"/>
  <c r="V58" i="1"/>
  <c r="T58" i="1"/>
  <c r="Q58" i="1"/>
  <c r="P58" i="1"/>
  <c r="K58" i="1"/>
  <c r="H58" i="1"/>
  <c r="Y57" i="1"/>
  <c r="Z57" i="1" s="1"/>
  <c r="U57" i="1"/>
  <c r="T57" i="1"/>
  <c r="V57" i="1" s="1"/>
  <c r="W57" i="1" s="1"/>
  <c r="P57" i="1"/>
  <c r="AA57" i="1" s="1"/>
  <c r="K57" i="1"/>
  <c r="L57" i="1" s="1"/>
  <c r="I57" i="1"/>
  <c r="N57" i="1" s="1"/>
  <c r="H57" i="1"/>
  <c r="R57" i="1" s="1"/>
  <c r="Z56" i="1"/>
  <c r="Y56" i="1"/>
  <c r="V56" i="1"/>
  <c r="W56" i="1" s="1"/>
  <c r="T56" i="1"/>
  <c r="P56" i="1"/>
  <c r="AA56" i="1" s="1"/>
  <c r="L56" i="1"/>
  <c r="K56" i="1"/>
  <c r="I56" i="1"/>
  <c r="N56" i="1" s="1"/>
  <c r="H56" i="1"/>
  <c r="R56" i="1" s="1"/>
  <c r="S56" i="1" s="1"/>
  <c r="Y55" i="1"/>
  <c r="V55" i="1"/>
  <c r="W55" i="1" s="1"/>
  <c r="T55" i="1"/>
  <c r="M55" i="1"/>
  <c r="I55" i="1"/>
  <c r="K55" i="1" s="1"/>
  <c r="L55" i="1" s="1"/>
  <c r="H55" i="1"/>
  <c r="Y54" i="1"/>
  <c r="Z54" i="1" s="1"/>
  <c r="U54" i="1"/>
  <c r="T54" i="1"/>
  <c r="V54" i="1" s="1"/>
  <c r="W54" i="1" s="1"/>
  <c r="N54" i="1"/>
  <c r="P54" i="1" s="1"/>
  <c r="K54" i="1"/>
  <c r="L54" i="1" s="1"/>
  <c r="I54" i="1"/>
  <c r="H54" i="1"/>
  <c r="Z53" i="1"/>
  <c r="Y53" i="1"/>
  <c r="T53" i="1"/>
  <c r="V53" i="1" s="1"/>
  <c r="W53" i="1" s="1"/>
  <c r="K53" i="1"/>
  <c r="L53" i="1" s="1"/>
  <c r="I53" i="1"/>
  <c r="N53" i="1" s="1"/>
  <c r="P53" i="1" s="1"/>
  <c r="H53" i="1"/>
  <c r="Y52" i="1"/>
  <c r="T52" i="1"/>
  <c r="V52" i="1" s="1"/>
  <c r="W52" i="1" s="1"/>
  <c r="I52" i="1"/>
  <c r="K52" i="1" s="1"/>
  <c r="H52" i="1"/>
  <c r="H50" i="1" s="1"/>
  <c r="Y51" i="1"/>
  <c r="Z51" i="1" s="1"/>
  <c r="T51" i="1"/>
  <c r="I51" i="1"/>
  <c r="K51" i="1" s="1"/>
  <c r="H51" i="1"/>
  <c r="Y50" i="1"/>
  <c r="Z50" i="1" s="1"/>
  <c r="X50" i="1"/>
  <c r="U50" i="1"/>
  <c r="O50" i="1"/>
  <c r="J50" i="1"/>
  <c r="J45" i="1" s="1"/>
  <c r="G50" i="1"/>
  <c r="F50" i="1"/>
  <c r="F45" i="1" s="1"/>
  <c r="E50" i="1"/>
  <c r="E45" i="1" s="1"/>
  <c r="D50" i="1"/>
  <c r="C50" i="1"/>
  <c r="X49" i="1"/>
  <c r="Y49" i="1" s="1"/>
  <c r="T49" i="1"/>
  <c r="V49" i="1" s="1"/>
  <c r="W49" i="1" s="1"/>
  <c r="I49" i="1"/>
  <c r="K49" i="1" s="1"/>
  <c r="L49" i="1" s="1"/>
  <c r="H49" i="1"/>
  <c r="Y48" i="1"/>
  <c r="Y46" i="1" s="1"/>
  <c r="T48" i="1"/>
  <c r="V48" i="1" s="1"/>
  <c r="W48" i="1" s="1"/>
  <c r="N48" i="1"/>
  <c r="P48" i="1" s="1"/>
  <c r="K48" i="1"/>
  <c r="L48" i="1" s="1"/>
  <c r="I48" i="1"/>
  <c r="H48" i="1"/>
  <c r="Z47" i="1"/>
  <c r="Y47" i="1"/>
  <c r="U47" i="1"/>
  <c r="U46" i="1" s="1"/>
  <c r="U45" i="1" s="1"/>
  <c r="T47" i="1"/>
  <c r="L47" i="1"/>
  <c r="K47" i="1"/>
  <c r="I47" i="1"/>
  <c r="N47" i="1" s="1"/>
  <c r="H47" i="1"/>
  <c r="M47" i="1" s="1"/>
  <c r="X46" i="1"/>
  <c r="T46" i="1"/>
  <c r="O46" i="1"/>
  <c r="O45" i="1" s="1"/>
  <c r="K46" i="1"/>
  <c r="J46" i="1"/>
  <c r="G46" i="1"/>
  <c r="G45" i="1" s="1"/>
  <c r="F46" i="1"/>
  <c r="E46" i="1"/>
  <c r="D46" i="1"/>
  <c r="C46" i="1"/>
  <c r="C45" i="1" s="1"/>
  <c r="Y45" i="1"/>
  <c r="X45" i="1"/>
  <c r="D45" i="1"/>
  <c r="Y44" i="1"/>
  <c r="T44" i="1"/>
  <c r="V44" i="1" s="1"/>
  <c r="W44" i="1" s="1"/>
  <c r="I44" i="1"/>
  <c r="N44" i="1" s="1"/>
  <c r="H44" i="1"/>
  <c r="Z44" i="1" s="1"/>
  <c r="Y43" i="1"/>
  <c r="Z43" i="1" s="1"/>
  <c r="X43" i="1"/>
  <c r="U43" i="1"/>
  <c r="U36" i="1" s="1"/>
  <c r="T43" i="1"/>
  <c r="O43" i="1"/>
  <c r="J43" i="1"/>
  <c r="I43" i="1"/>
  <c r="H43" i="1"/>
  <c r="G43" i="1"/>
  <c r="F43" i="1"/>
  <c r="E43" i="1"/>
  <c r="E36" i="1" s="1"/>
  <c r="D43" i="1"/>
  <c r="C43" i="1"/>
  <c r="Y42" i="1"/>
  <c r="Z42" i="1" s="1"/>
  <c r="X42" i="1"/>
  <c r="T42" i="1"/>
  <c r="V42" i="1" s="1"/>
  <c r="K42" i="1"/>
  <c r="L42" i="1" s="1"/>
  <c r="I42" i="1"/>
  <c r="N42" i="1" s="1"/>
  <c r="H42" i="1"/>
  <c r="X41" i="1"/>
  <c r="U41" i="1"/>
  <c r="O41" i="1"/>
  <c r="J41" i="1"/>
  <c r="I41" i="1"/>
  <c r="H41" i="1"/>
  <c r="G41" i="1"/>
  <c r="F41" i="1"/>
  <c r="E41" i="1"/>
  <c r="D41" i="1"/>
  <c r="C41" i="1"/>
  <c r="X40" i="1"/>
  <c r="Y40" i="1" s="1"/>
  <c r="Z40" i="1" s="1"/>
  <c r="T40" i="1"/>
  <c r="V40" i="1" s="1"/>
  <c r="W40" i="1" s="1"/>
  <c r="I40" i="1"/>
  <c r="K40" i="1" s="1"/>
  <c r="L40" i="1" s="1"/>
  <c r="H40" i="1"/>
  <c r="Y39" i="1"/>
  <c r="Z39" i="1" s="1"/>
  <c r="T39" i="1"/>
  <c r="V39" i="1" s="1"/>
  <c r="W39" i="1" s="1"/>
  <c r="I39" i="1"/>
  <c r="K39" i="1" s="1"/>
  <c r="L39" i="1" s="1"/>
  <c r="H39" i="1"/>
  <c r="Z38" i="1"/>
  <c r="Y38" i="1"/>
  <c r="T38" i="1"/>
  <c r="V38" i="1" s="1"/>
  <c r="K38" i="1"/>
  <c r="L38" i="1" s="1"/>
  <c r="I38" i="1"/>
  <c r="N38" i="1" s="1"/>
  <c r="H38" i="1"/>
  <c r="U37" i="1"/>
  <c r="O37" i="1"/>
  <c r="J37" i="1"/>
  <c r="J36" i="1" s="1"/>
  <c r="H37" i="1"/>
  <c r="G37" i="1"/>
  <c r="F37" i="1"/>
  <c r="F36" i="1" s="1"/>
  <c r="E37" i="1"/>
  <c r="D37" i="1"/>
  <c r="C37" i="1"/>
  <c r="O36" i="1"/>
  <c r="H36" i="1"/>
  <c r="G36" i="1"/>
  <c r="D36" i="1"/>
  <c r="C36" i="1"/>
  <c r="Y35" i="1"/>
  <c r="T35" i="1"/>
  <c r="V35" i="1" s="1"/>
  <c r="W35" i="1" s="1"/>
  <c r="I35" i="1"/>
  <c r="H35" i="1"/>
  <c r="Z34" i="1"/>
  <c r="Y34" i="1"/>
  <c r="T34" i="1"/>
  <c r="K34" i="1"/>
  <c r="I34" i="1"/>
  <c r="N34" i="1" s="1"/>
  <c r="P34" i="1" s="1"/>
  <c r="H34" i="1"/>
  <c r="X33" i="1"/>
  <c r="U33" i="1"/>
  <c r="O33" i="1"/>
  <c r="J33" i="1"/>
  <c r="J26" i="1" s="1"/>
  <c r="J25" i="1" s="1"/>
  <c r="H33" i="1"/>
  <c r="G33" i="1"/>
  <c r="F33" i="1"/>
  <c r="E33" i="1"/>
  <c r="D33" i="1"/>
  <c r="C33" i="1"/>
  <c r="Y32" i="1"/>
  <c r="Y31" i="1" s="1"/>
  <c r="T32" i="1"/>
  <c r="V32" i="1" s="1"/>
  <c r="V31" i="1" s="1"/>
  <c r="I32" i="1"/>
  <c r="K32" i="1" s="1"/>
  <c r="H32" i="1"/>
  <c r="X31" i="1"/>
  <c r="U31" i="1"/>
  <c r="U27" i="1" s="1"/>
  <c r="U26" i="1" s="1"/>
  <c r="U25" i="1" s="1"/>
  <c r="T31" i="1"/>
  <c r="O31" i="1"/>
  <c r="J31" i="1"/>
  <c r="I31" i="1"/>
  <c r="I27" i="1" s="1"/>
  <c r="H31" i="1"/>
  <c r="H27" i="1" s="1"/>
  <c r="H26" i="1" s="1"/>
  <c r="H25" i="1" s="1"/>
  <c r="G31" i="1"/>
  <c r="F31" i="1"/>
  <c r="E31" i="1"/>
  <c r="D31" i="1"/>
  <c r="D27" i="1" s="1"/>
  <c r="D26" i="1" s="1"/>
  <c r="D25" i="1" s="1"/>
  <c r="C31" i="1"/>
  <c r="Y30" i="1"/>
  <c r="Y28" i="1" s="1"/>
  <c r="Z28" i="1" s="1"/>
  <c r="T30" i="1"/>
  <c r="V30" i="1" s="1"/>
  <c r="N30" i="1"/>
  <c r="P30" i="1" s="1"/>
  <c r="K30" i="1"/>
  <c r="L30" i="1" s="1"/>
  <c r="I30" i="1"/>
  <c r="I28" i="1" s="1"/>
  <c r="H30" i="1"/>
  <c r="Z29" i="1"/>
  <c r="X29" i="1"/>
  <c r="Y29" i="1" s="1"/>
  <c r="V29" i="1"/>
  <c r="W29" i="1" s="1"/>
  <c r="T29" i="1"/>
  <c r="M29" i="1"/>
  <c r="L29" i="1"/>
  <c r="I29" i="1"/>
  <c r="K29" i="1" s="1"/>
  <c r="H29" i="1"/>
  <c r="X28" i="1"/>
  <c r="X27" i="1" s="1"/>
  <c r="X26" i="1" s="1"/>
  <c r="U28" i="1"/>
  <c r="T28" i="1"/>
  <c r="O28" i="1"/>
  <c r="O27" i="1" s="1"/>
  <c r="O26" i="1" s="1"/>
  <c r="K28" i="1"/>
  <c r="J28" i="1"/>
  <c r="H28" i="1"/>
  <c r="G28" i="1"/>
  <c r="G27" i="1" s="1"/>
  <c r="G26" i="1" s="1"/>
  <c r="F28" i="1"/>
  <c r="E28" i="1"/>
  <c r="D28" i="1"/>
  <c r="C28" i="1"/>
  <c r="C27" i="1" s="1"/>
  <c r="C26" i="1" s="1"/>
  <c r="C25" i="1" s="1"/>
  <c r="T27" i="1"/>
  <c r="J27" i="1"/>
  <c r="F27" i="1"/>
  <c r="E27" i="1"/>
  <c r="E26" i="1" s="1"/>
  <c r="E25" i="1" s="1"/>
  <c r="F26" i="1"/>
  <c r="F25" i="1" s="1"/>
  <c r="O25" i="1"/>
  <c r="G25" i="1"/>
  <c r="Y24" i="1"/>
  <c r="X24" i="1"/>
  <c r="X22" i="1" s="1"/>
  <c r="T24" i="1"/>
  <c r="P24" i="1"/>
  <c r="N24" i="1"/>
  <c r="K24" i="1"/>
  <c r="H24" i="1"/>
  <c r="X23" i="1"/>
  <c r="Y23" i="1" s="1"/>
  <c r="V23" i="1"/>
  <c r="W23" i="1" s="1"/>
  <c r="T23" i="1"/>
  <c r="N23" i="1"/>
  <c r="P23" i="1" s="1"/>
  <c r="P22" i="1" s="1"/>
  <c r="M23" i="1"/>
  <c r="L23" i="1"/>
  <c r="K23" i="1"/>
  <c r="H23" i="1"/>
  <c r="U22" i="1"/>
  <c r="O22" i="1"/>
  <c r="N22" i="1"/>
  <c r="K22" i="1"/>
  <c r="J22" i="1"/>
  <c r="I22" i="1"/>
  <c r="G22" i="1"/>
  <c r="F22" i="1"/>
  <c r="E22" i="1"/>
  <c r="D22" i="1"/>
  <c r="C22" i="1"/>
  <c r="Y21" i="1"/>
  <c r="T21" i="1"/>
  <c r="I21" i="1"/>
  <c r="K21" i="1" s="1"/>
  <c r="H21" i="1"/>
  <c r="Y20" i="1"/>
  <c r="Z20" i="1" s="1"/>
  <c r="T20" i="1"/>
  <c r="I20" i="1"/>
  <c r="K20" i="1" s="1"/>
  <c r="L20" i="1" s="1"/>
  <c r="H20" i="1"/>
  <c r="Z19" i="1"/>
  <c r="Y19" i="1"/>
  <c r="T19" i="1"/>
  <c r="I19" i="1"/>
  <c r="K19" i="1" s="1"/>
  <c r="L19" i="1" s="1"/>
  <c r="H19" i="1"/>
  <c r="M19" i="1" s="1"/>
  <c r="Y18" i="1"/>
  <c r="T18" i="1"/>
  <c r="I18" i="1"/>
  <c r="K18" i="1" s="1"/>
  <c r="H18" i="1"/>
  <c r="Y17" i="1"/>
  <c r="Z17" i="1" s="1"/>
  <c r="T17" i="1"/>
  <c r="I17" i="1"/>
  <c r="K17" i="1" s="1"/>
  <c r="L17" i="1" s="1"/>
  <c r="H17" i="1"/>
  <c r="Z16" i="1"/>
  <c r="Y16" i="1"/>
  <c r="T16" i="1"/>
  <c r="I16" i="1"/>
  <c r="K16" i="1" s="1"/>
  <c r="L16" i="1" s="1"/>
  <c r="H16" i="1"/>
  <c r="M16" i="1" s="1"/>
  <c r="X15" i="1"/>
  <c r="Y15" i="1" s="1"/>
  <c r="T15" i="1"/>
  <c r="V15" i="1" s="1"/>
  <c r="N15" i="1"/>
  <c r="N14" i="1" s="1"/>
  <c r="K15" i="1"/>
  <c r="L15" i="1" s="1"/>
  <c r="I15" i="1"/>
  <c r="I14" i="1" s="1"/>
  <c r="H15" i="1"/>
  <c r="AE14" i="1"/>
  <c r="AB13" i="1" s="1"/>
  <c r="U14" i="1"/>
  <c r="T14" i="1"/>
  <c r="O14" i="1"/>
  <c r="O13" i="1" s="1"/>
  <c r="O12" i="1" s="1"/>
  <c r="O11" i="1" s="1"/>
  <c r="J14" i="1"/>
  <c r="H14" i="1"/>
  <c r="H13" i="1" s="1"/>
  <c r="G14" i="1"/>
  <c r="G13" i="1" s="1"/>
  <c r="F14" i="1"/>
  <c r="E14" i="1"/>
  <c r="D14" i="1"/>
  <c r="D13" i="1" s="1"/>
  <c r="D12" i="1" s="1"/>
  <c r="D11" i="1" s="1"/>
  <c r="D10" i="1" s="1"/>
  <c r="D9" i="1" s="1"/>
  <c r="C14" i="1"/>
  <c r="C13" i="1" s="1"/>
  <c r="J13" i="1"/>
  <c r="I13" i="1"/>
  <c r="F13" i="1"/>
  <c r="E13" i="1"/>
  <c r="E12" i="1" s="1"/>
  <c r="E11" i="1" s="1"/>
  <c r="E10" i="1" s="1"/>
  <c r="E9" i="1" s="1"/>
  <c r="AF12" i="1"/>
  <c r="O10" i="1"/>
  <c r="O9" i="1" s="1"/>
  <c r="AA30" i="1" l="1"/>
  <c r="Q30" i="1"/>
  <c r="Z15" i="1"/>
  <c r="Y14" i="1"/>
  <c r="Z31" i="1"/>
  <c r="Y27" i="1"/>
  <c r="AA34" i="1"/>
  <c r="Q34" i="1"/>
  <c r="J12" i="1"/>
  <c r="J11" i="1" s="1"/>
  <c r="J10" i="1" s="1"/>
  <c r="J9" i="1" s="1"/>
  <c r="K14" i="1"/>
  <c r="X14" i="1"/>
  <c r="X13" i="1" s="1"/>
  <c r="AB15" i="1"/>
  <c r="N17" i="1"/>
  <c r="M18" i="1"/>
  <c r="N20" i="1"/>
  <c r="M21" i="1"/>
  <c r="R23" i="1"/>
  <c r="Y22" i="1"/>
  <c r="L24" i="1"/>
  <c r="V24" i="1"/>
  <c r="T22" i="1"/>
  <c r="R30" i="1"/>
  <c r="Z30" i="1"/>
  <c r="M32" i="1"/>
  <c r="M31" i="1" s="1"/>
  <c r="W31" i="1"/>
  <c r="L34" i="1"/>
  <c r="V37" i="1"/>
  <c r="W38" i="1"/>
  <c r="C12" i="1"/>
  <c r="C11" i="1" s="1"/>
  <c r="C10" i="1" s="1"/>
  <c r="C9" i="1" s="1"/>
  <c r="G12" i="1"/>
  <c r="G11" i="1" s="1"/>
  <c r="G10" i="1" s="1"/>
  <c r="G9" i="1" s="1"/>
  <c r="T13" i="1"/>
  <c r="W15" i="1"/>
  <c r="V14" i="1"/>
  <c r="N18" i="1"/>
  <c r="N21" i="1"/>
  <c r="AB23" i="1"/>
  <c r="Z23" i="1"/>
  <c r="N32" i="1"/>
  <c r="W32" i="1"/>
  <c r="V41" i="1"/>
  <c r="W41" i="1" s="1"/>
  <c r="W42" i="1"/>
  <c r="AA48" i="1"/>
  <c r="Q48" i="1"/>
  <c r="F12" i="1"/>
  <c r="F11" i="1" s="1"/>
  <c r="F10" i="1" s="1"/>
  <c r="F9" i="1" s="1"/>
  <c r="AA23" i="1"/>
  <c r="AA24" i="1"/>
  <c r="Q24" i="1"/>
  <c r="Z24" i="1"/>
  <c r="W30" i="1"/>
  <c r="V28" i="1"/>
  <c r="Z32" i="1"/>
  <c r="R34" i="1"/>
  <c r="V34" i="1"/>
  <c r="T33" i="1"/>
  <c r="K35" i="1"/>
  <c r="L35" i="1" s="1"/>
  <c r="I33" i="1"/>
  <c r="I26" i="1" s="1"/>
  <c r="I25" i="1" s="1"/>
  <c r="I12" i="1" s="1"/>
  <c r="Z35" i="1"/>
  <c r="Y33" i="1"/>
  <c r="Z33" i="1" s="1"/>
  <c r="P38" i="1"/>
  <c r="R38" i="1" s="1"/>
  <c r="P44" i="1"/>
  <c r="N43" i="1"/>
  <c r="P15" i="1"/>
  <c r="L18" i="1"/>
  <c r="Z18" i="1"/>
  <c r="L21" i="1"/>
  <c r="Z21" i="1"/>
  <c r="Q23" i="1"/>
  <c r="R24" i="1"/>
  <c r="M24" i="1"/>
  <c r="M22" i="1" s="1"/>
  <c r="H22" i="1"/>
  <c r="H12" i="1" s="1"/>
  <c r="H11" i="1" s="1"/>
  <c r="H10" i="1" s="1"/>
  <c r="H9" i="1" s="1"/>
  <c r="T26" i="1"/>
  <c r="L28" i="1"/>
  <c r="N28" i="1"/>
  <c r="L32" i="1"/>
  <c r="K31" i="1"/>
  <c r="L31" i="1" s="1"/>
  <c r="N35" i="1"/>
  <c r="P42" i="1"/>
  <c r="N41" i="1"/>
  <c r="L51" i="1"/>
  <c r="K50" i="1"/>
  <c r="L50" i="1" s="1"/>
  <c r="AA53" i="1"/>
  <c r="Q53" i="1"/>
  <c r="AA54" i="1"/>
  <c r="Q54" i="1"/>
  <c r="N16" i="1"/>
  <c r="AB16" i="1"/>
  <c r="N19" i="1"/>
  <c r="N29" i="1"/>
  <c r="P29" i="1" s="1"/>
  <c r="M34" i="1"/>
  <c r="T37" i="1"/>
  <c r="T36" i="1" s="1"/>
  <c r="X37" i="1"/>
  <c r="X36" i="1" s="1"/>
  <c r="X25" i="1" s="1"/>
  <c r="M38" i="1"/>
  <c r="T41" i="1"/>
  <c r="M42" i="1"/>
  <c r="M41" i="1" s="1"/>
  <c r="V43" i="1"/>
  <c r="W43" i="1" s="1"/>
  <c r="K44" i="1"/>
  <c r="H46" i="1"/>
  <c r="H45" i="1" s="1"/>
  <c r="P47" i="1"/>
  <c r="V47" i="1"/>
  <c r="R48" i="1"/>
  <c r="Z48" i="1"/>
  <c r="N49" i="1"/>
  <c r="P49" i="1" s="1"/>
  <c r="R49" i="1" s="1"/>
  <c r="N51" i="1"/>
  <c r="M52" i="1"/>
  <c r="R54" i="1"/>
  <c r="Z55" i="1"/>
  <c r="Q56" i="1"/>
  <c r="Z58" i="1"/>
  <c r="M58" i="1"/>
  <c r="R58" i="1"/>
  <c r="M15" i="1"/>
  <c r="M14" i="1" s="1"/>
  <c r="M17" i="1"/>
  <c r="M20" i="1"/>
  <c r="M30" i="1"/>
  <c r="M28" i="1" s="1"/>
  <c r="M27" i="1" s="1"/>
  <c r="M35" i="1"/>
  <c r="I37" i="1"/>
  <c r="I36" i="1" s="1"/>
  <c r="Y37" i="1"/>
  <c r="M39" i="1"/>
  <c r="M40" i="1"/>
  <c r="Y41" i="1"/>
  <c r="Z41" i="1" s="1"/>
  <c r="R44" i="1"/>
  <c r="R47" i="1"/>
  <c r="I46" i="1"/>
  <c r="Z49" i="1"/>
  <c r="I50" i="1"/>
  <c r="N52" i="1"/>
  <c r="P52" i="1" s="1"/>
  <c r="R53" i="1"/>
  <c r="L58" i="1"/>
  <c r="W58" i="1"/>
  <c r="W60" i="1"/>
  <c r="V59" i="1"/>
  <c r="W59" i="1" s="1"/>
  <c r="AA62" i="1"/>
  <c r="Q62" i="1"/>
  <c r="N39" i="1"/>
  <c r="P39" i="1" s="1"/>
  <c r="N40" i="1"/>
  <c r="P40" i="1" s="1"/>
  <c r="M44" i="1"/>
  <c r="M43" i="1" s="1"/>
  <c r="Z45" i="1"/>
  <c r="K45" i="1"/>
  <c r="L45" i="1" s="1"/>
  <c r="R52" i="1"/>
  <c r="Z52" i="1"/>
  <c r="AB57" i="1"/>
  <c r="S57" i="1"/>
  <c r="Z61" i="1"/>
  <c r="Y60" i="1"/>
  <c r="K37" i="1"/>
  <c r="K41" i="1"/>
  <c r="L41" i="1" s="1"/>
  <c r="L46" i="1"/>
  <c r="Z46" i="1"/>
  <c r="M49" i="1"/>
  <c r="T50" i="1"/>
  <c r="T45" i="1" s="1"/>
  <c r="V51" i="1"/>
  <c r="L52" i="1"/>
  <c r="Q57" i="1"/>
  <c r="L61" i="1"/>
  <c r="K60" i="1"/>
  <c r="M53" i="1"/>
  <c r="N55" i="1"/>
  <c r="P55" i="1" s="1"/>
  <c r="R55" i="1" s="1"/>
  <c r="M56" i="1"/>
  <c r="M57" i="1"/>
  <c r="N61" i="1"/>
  <c r="Z67" i="1"/>
  <c r="L67" i="1"/>
  <c r="L70" i="1"/>
  <c r="K69" i="1"/>
  <c r="V69" i="1"/>
  <c r="Z80" i="1"/>
  <c r="W81" i="1"/>
  <c r="AA84" i="1"/>
  <c r="R84" i="1"/>
  <c r="AB84" i="1" s="1"/>
  <c r="M48" i="1"/>
  <c r="M46" i="1" s="1"/>
  <c r="M45" i="1" s="1"/>
  <c r="M51" i="1"/>
  <c r="M50" i="1" s="1"/>
  <c r="M54" i="1"/>
  <c r="R62" i="1"/>
  <c r="R67" i="1"/>
  <c r="AA68" i="1"/>
  <c r="P70" i="1"/>
  <c r="N69" i="1"/>
  <c r="N66" i="1" s="1"/>
  <c r="N65" i="1" s="1"/>
  <c r="N64" i="1" s="1"/>
  <c r="N63" i="1" s="1"/>
  <c r="W71" i="1"/>
  <c r="R78" i="1"/>
  <c r="H77" i="1"/>
  <c r="H76" i="1" s="1"/>
  <c r="H74" i="1" s="1"/>
  <c r="H73" i="1" s="1"/>
  <c r="P77" i="1"/>
  <c r="AA78" i="1"/>
  <c r="AA77" i="1" s="1"/>
  <c r="AA76" i="1" s="1"/>
  <c r="AA74" i="1" s="1"/>
  <c r="AA73" i="1" s="1"/>
  <c r="W78" i="1"/>
  <c r="V77" i="1"/>
  <c r="R79" i="1"/>
  <c r="Z81" i="1"/>
  <c r="W82" i="1"/>
  <c r="R82" i="1"/>
  <c r="Z62" i="1"/>
  <c r="R68" i="1"/>
  <c r="Z71" i="1"/>
  <c r="L71" i="1"/>
  <c r="H69" i="1"/>
  <c r="H66" i="1" s="1"/>
  <c r="H65" i="1" s="1"/>
  <c r="H64" i="1" s="1"/>
  <c r="H63" i="1" s="1"/>
  <c r="R71" i="1"/>
  <c r="Y74" i="1"/>
  <c r="R80" i="1"/>
  <c r="W83" i="1"/>
  <c r="R83" i="1"/>
  <c r="M61" i="1"/>
  <c r="M60" i="1" s="1"/>
  <c r="M59" i="1" s="1"/>
  <c r="V66" i="1"/>
  <c r="V65" i="1" s="1"/>
  <c r="V64" i="1" s="1"/>
  <c r="V63" i="1" s="1"/>
  <c r="W67" i="1"/>
  <c r="AA71" i="1"/>
  <c r="L77" i="1"/>
  <c r="K76" i="1"/>
  <c r="Z83" i="1"/>
  <c r="R72" i="1"/>
  <c r="AB72" i="1" s="1"/>
  <c r="Y72" i="1"/>
  <c r="Y69" i="1" s="1"/>
  <c r="Z69" i="1" s="1"/>
  <c r="N77" i="1"/>
  <c r="N76" i="1" s="1"/>
  <c r="N74" i="1" s="1"/>
  <c r="N73" i="1" s="1"/>
  <c r="Z77" i="1"/>
  <c r="L78" i="1"/>
  <c r="M70" i="1"/>
  <c r="M69" i="1" s="1"/>
  <c r="M66" i="1" s="1"/>
  <c r="M65" i="1" s="1"/>
  <c r="M64" i="1" s="1"/>
  <c r="M63" i="1" s="1"/>
  <c r="R70" i="1"/>
  <c r="S38" i="1" l="1"/>
  <c r="AB38" i="1"/>
  <c r="R66" i="1"/>
  <c r="R65" i="1" s="1"/>
  <c r="R64" i="1" s="1"/>
  <c r="R63" i="1" s="1"/>
  <c r="S67" i="1"/>
  <c r="AB49" i="1"/>
  <c r="S49" i="1"/>
  <c r="S55" i="1"/>
  <c r="AB55" i="1"/>
  <c r="AB70" i="1"/>
  <c r="R69" i="1"/>
  <c r="S70" i="1"/>
  <c r="S69" i="1" s="1"/>
  <c r="L76" i="1"/>
  <c r="K74" i="1"/>
  <c r="Z76" i="1"/>
  <c r="R77" i="1"/>
  <c r="W69" i="1"/>
  <c r="W66" i="1" s="1"/>
  <c r="W65" i="1" s="1"/>
  <c r="W64" i="1" s="1"/>
  <c r="W63" i="1" s="1"/>
  <c r="K59" i="1"/>
  <c r="L59" i="1" s="1"/>
  <c r="L60" i="1"/>
  <c r="W51" i="1"/>
  <c r="V50" i="1"/>
  <c r="W50" i="1" s="1"/>
  <c r="S52" i="1"/>
  <c r="AA40" i="1"/>
  <c r="Q40" i="1"/>
  <c r="S53" i="1"/>
  <c r="AB53" i="1"/>
  <c r="AB48" i="1"/>
  <c r="S48" i="1"/>
  <c r="M33" i="1"/>
  <c r="P16" i="1"/>
  <c r="N13" i="1"/>
  <c r="U16" i="1"/>
  <c r="P35" i="1"/>
  <c r="N33" i="1"/>
  <c r="AB24" i="1"/>
  <c r="S24" i="1"/>
  <c r="AA15" i="1"/>
  <c r="AA14" i="1" s="1"/>
  <c r="Q15" i="1"/>
  <c r="P14" i="1"/>
  <c r="AA44" i="1"/>
  <c r="AA43" i="1" s="1"/>
  <c r="Q44" i="1"/>
  <c r="P43" i="1"/>
  <c r="Q43" i="1" s="1"/>
  <c r="V27" i="1"/>
  <c r="W28" i="1"/>
  <c r="P32" i="1"/>
  <c r="N31" i="1"/>
  <c r="U21" i="1"/>
  <c r="V21" i="1" s="1"/>
  <c r="W21" i="1" s="1"/>
  <c r="P21" i="1"/>
  <c r="W14" i="1"/>
  <c r="K33" i="1"/>
  <c r="L33" i="1" s="1"/>
  <c r="AB71" i="1"/>
  <c r="S71" i="1"/>
  <c r="AB68" i="1"/>
  <c r="S68" i="1"/>
  <c r="L69" i="1"/>
  <c r="K66" i="1"/>
  <c r="AA39" i="1"/>
  <c r="Q39" i="1"/>
  <c r="AA52" i="1"/>
  <c r="AC52" i="1" s="1"/>
  <c r="AB52" i="1" s="1"/>
  <c r="Q52" i="1"/>
  <c r="I45" i="1"/>
  <c r="I11" i="1" s="1"/>
  <c r="I10" i="1" s="1"/>
  <c r="I9" i="1" s="1"/>
  <c r="M13" i="1"/>
  <c r="P51" i="1"/>
  <c r="N50" i="1"/>
  <c r="V46" i="1"/>
  <c r="W47" i="1"/>
  <c r="L44" i="1"/>
  <c r="K43" i="1"/>
  <c r="L43" i="1" s="1"/>
  <c r="M37" i="1"/>
  <c r="M36" i="1" s="1"/>
  <c r="AA29" i="1"/>
  <c r="AA28" i="1" s="1"/>
  <c r="R29" i="1"/>
  <c r="Q29" i="1"/>
  <c r="Q42" i="1"/>
  <c r="AA42" i="1"/>
  <c r="AA41" i="1" s="1"/>
  <c r="P41" i="1"/>
  <c r="Q41" i="1" s="1"/>
  <c r="T25" i="1"/>
  <c r="T12" i="1" s="1"/>
  <c r="T11" i="1" s="1"/>
  <c r="T10" i="1" s="1"/>
  <c r="T9" i="1" s="1"/>
  <c r="R15" i="1"/>
  <c r="R42" i="1"/>
  <c r="W34" i="1"/>
  <c r="V33" i="1"/>
  <c r="W33" i="1" s="1"/>
  <c r="R28" i="1"/>
  <c r="S30" i="1"/>
  <c r="Z22" i="1"/>
  <c r="U20" i="1"/>
  <c r="V20" i="1" s="1"/>
  <c r="W20" i="1" s="1"/>
  <c r="P20" i="1"/>
  <c r="X12" i="1"/>
  <c r="X11" i="1" s="1"/>
  <c r="X10" i="1" s="1"/>
  <c r="X9" i="1" s="1"/>
  <c r="Z27" i="1"/>
  <c r="Y26" i="1"/>
  <c r="Z14" i="1"/>
  <c r="Y13" i="1"/>
  <c r="Q77" i="1"/>
  <c r="P76" i="1"/>
  <c r="Q67" i="1"/>
  <c r="AA67" i="1"/>
  <c r="Z66" i="1"/>
  <c r="Z65" i="1" s="1"/>
  <c r="Z64" i="1" s="1"/>
  <c r="Z63" i="1" s="1"/>
  <c r="Q55" i="1"/>
  <c r="AA55" i="1"/>
  <c r="K36" i="1"/>
  <c r="L36" i="1" s="1"/>
  <c r="L37" i="1"/>
  <c r="R46" i="1"/>
  <c r="AB47" i="1"/>
  <c r="S47" i="1"/>
  <c r="M26" i="1"/>
  <c r="M25" i="1" s="1"/>
  <c r="S58" i="1"/>
  <c r="AB58" i="1"/>
  <c r="Q49" i="1"/>
  <c r="AA49" i="1"/>
  <c r="N46" i="1"/>
  <c r="N45" i="1" s="1"/>
  <c r="P19" i="1"/>
  <c r="U19" i="1"/>
  <c r="V19" i="1" s="1"/>
  <c r="W19" i="1" s="1"/>
  <c r="R40" i="1"/>
  <c r="R37" i="1" s="1"/>
  <c r="N37" i="1"/>
  <c r="N36" i="1" s="1"/>
  <c r="S34" i="1"/>
  <c r="AB34" i="1"/>
  <c r="K27" i="1"/>
  <c r="AC23" i="1"/>
  <c r="AA22" i="1"/>
  <c r="U18" i="1"/>
  <c r="V18" i="1" s="1"/>
  <c r="W18" i="1" s="1"/>
  <c r="P18" i="1"/>
  <c r="S23" i="1"/>
  <c r="R22" i="1"/>
  <c r="K13" i="1"/>
  <c r="L14" i="1"/>
  <c r="Z74" i="1"/>
  <c r="Y73" i="1"/>
  <c r="Z73" i="1" s="1"/>
  <c r="V76" i="1"/>
  <c r="W77" i="1"/>
  <c r="P69" i="1"/>
  <c r="Q69" i="1" s="1"/>
  <c r="AA70" i="1"/>
  <c r="Q70" i="1"/>
  <c r="AB62" i="1"/>
  <c r="S62" i="1"/>
  <c r="AA72" i="1"/>
  <c r="Y66" i="1"/>
  <c r="Y65" i="1" s="1"/>
  <c r="Y64" i="1" s="1"/>
  <c r="Y63" i="1" s="1"/>
  <c r="P61" i="1"/>
  <c r="N60" i="1"/>
  <c r="N59" i="1" s="1"/>
  <c r="Z60" i="1"/>
  <c r="Y59" i="1"/>
  <c r="Z59" i="1" s="1"/>
  <c r="S44" i="1"/>
  <c r="R43" i="1"/>
  <c r="S43" i="1" s="1"/>
  <c r="Z37" i="1"/>
  <c r="Y36" i="1"/>
  <c r="Z36" i="1" s="1"/>
  <c r="AB54" i="1"/>
  <c r="S54" i="1"/>
  <c r="AA47" i="1"/>
  <c r="AA46" i="1" s="1"/>
  <c r="P46" i="1"/>
  <c r="Q47" i="1"/>
  <c r="AF14" i="1"/>
  <c r="AB12" i="1"/>
  <c r="R39" i="1"/>
  <c r="S39" i="1" s="1"/>
  <c r="N27" i="1"/>
  <c r="N26" i="1" s="1"/>
  <c r="AA38" i="1"/>
  <c r="AA37" i="1" s="1"/>
  <c r="AA36" i="1" s="1"/>
  <c r="Q38" i="1"/>
  <c r="P37" i="1"/>
  <c r="Q22" i="1"/>
  <c r="W37" i="1"/>
  <c r="V36" i="1"/>
  <c r="W36" i="1" s="1"/>
  <c r="W24" i="1"/>
  <c r="V22" i="1"/>
  <c r="W22" i="1" s="1"/>
  <c r="L22" i="1"/>
  <c r="U17" i="1"/>
  <c r="V17" i="1" s="1"/>
  <c r="W17" i="1" s="1"/>
  <c r="P17" i="1"/>
  <c r="P28" i="1"/>
  <c r="S37" i="1" l="1"/>
  <c r="R36" i="1"/>
  <c r="S36" i="1" s="1"/>
  <c r="AA20" i="1"/>
  <c r="Q20" i="1"/>
  <c r="R20" i="1"/>
  <c r="S20" i="1" s="1"/>
  <c r="Q28" i="1"/>
  <c r="N25" i="1"/>
  <c r="AA61" i="1"/>
  <c r="AA60" i="1" s="1"/>
  <c r="AA59" i="1" s="1"/>
  <c r="Q61" i="1"/>
  <c r="P60" i="1"/>
  <c r="R61" i="1"/>
  <c r="S22" i="1"/>
  <c r="P66" i="1"/>
  <c r="P65" i="1" s="1"/>
  <c r="P64" i="1" s="1"/>
  <c r="P63" i="1" s="1"/>
  <c r="Y25" i="1"/>
  <c r="Z25" i="1" s="1"/>
  <c r="Z26" i="1"/>
  <c r="K65" i="1"/>
  <c r="L66" i="1"/>
  <c r="R16" i="1"/>
  <c r="S16" i="1" s="1"/>
  <c r="Q16" i="1"/>
  <c r="AA16" i="1"/>
  <c r="AA17" i="1"/>
  <c r="Q17" i="1"/>
  <c r="R17" i="1"/>
  <c r="S17" i="1" s="1"/>
  <c r="P36" i="1"/>
  <c r="Q36" i="1" s="1"/>
  <c r="Q37" i="1"/>
  <c r="Q46" i="1"/>
  <c r="V74" i="1"/>
  <c r="W76" i="1"/>
  <c r="R19" i="1"/>
  <c r="Q19" i="1"/>
  <c r="AA19" i="1"/>
  <c r="AB29" i="1"/>
  <c r="S29" i="1"/>
  <c r="S28" i="1" s="1"/>
  <c r="P50" i="1"/>
  <c r="Q50" i="1" s="1"/>
  <c r="AA51" i="1"/>
  <c r="AA50" i="1" s="1"/>
  <c r="Q51" i="1"/>
  <c r="R51" i="1"/>
  <c r="AA32" i="1"/>
  <c r="AA31" i="1" s="1"/>
  <c r="AA27" i="1" s="1"/>
  <c r="AA26" i="1" s="1"/>
  <c r="AA25" i="1" s="1"/>
  <c r="Q32" i="1"/>
  <c r="P31" i="1"/>
  <c r="Q31" i="1" s="1"/>
  <c r="R32" i="1"/>
  <c r="AA35" i="1"/>
  <c r="AA33" i="1" s="1"/>
  <c r="Q35" i="1"/>
  <c r="P33" i="1"/>
  <c r="Q33" i="1" s="1"/>
  <c r="R35" i="1"/>
  <c r="K73" i="1"/>
  <c r="L73" i="1" s="1"/>
  <c r="L74" i="1"/>
  <c r="AA45" i="1"/>
  <c r="AA69" i="1"/>
  <c r="AA66" i="1" s="1"/>
  <c r="AA65" i="1" s="1"/>
  <c r="AA64" i="1" s="1"/>
  <c r="AA63" i="1" s="1"/>
  <c r="L13" i="1"/>
  <c r="Q18" i="1"/>
  <c r="AA18" i="1"/>
  <c r="AA13" i="1" s="1"/>
  <c r="R18" i="1"/>
  <c r="S18" i="1" s="1"/>
  <c r="K26" i="1"/>
  <c r="L27" i="1"/>
  <c r="S46" i="1"/>
  <c r="Q66" i="1"/>
  <c r="Q65" i="1" s="1"/>
  <c r="Q64" i="1" s="1"/>
  <c r="Q63" i="1" s="1"/>
  <c r="Y12" i="1"/>
  <c r="Z13" i="1"/>
  <c r="R41" i="1"/>
  <c r="S41" i="1" s="1"/>
  <c r="S42" i="1"/>
  <c r="M12" i="1"/>
  <c r="M11" i="1" s="1"/>
  <c r="M10" i="1" s="1"/>
  <c r="M9" i="1" s="1"/>
  <c r="Q21" i="1"/>
  <c r="AA21" i="1"/>
  <c r="R21" i="1"/>
  <c r="S21" i="1" s="1"/>
  <c r="V16" i="1"/>
  <c r="U13" i="1"/>
  <c r="U12" i="1" s="1"/>
  <c r="U11" i="1" s="1"/>
  <c r="U10" i="1" s="1"/>
  <c r="U9" i="1" s="1"/>
  <c r="S66" i="1"/>
  <c r="S65" i="1" s="1"/>
  <c r="S64" i="1" s="1"/>
  <c r="S63" i="1" s="1"/>
  <c r="AB40" i="1"/>
  <c r="S40" i="1"/>
  <c r="Q76" i="1"/>
  <c r="P74" i="1"/>
  <c r="R14" i="1"/>
  <c r="S15" i="1"/>
  <c r="V45" i="1"/>
  <c r="W45" i="1" s="1"/>
  <c r="W46" i="1"/>
  <c r="W27" i="1"/>
  <c r="V26" i="1"/>
  <c r="P13" i="1"/>
  <c r="Q14" i="1"/>
  <c r="N12" i="1"/>
  <c r="N11" i="1" s="1"/>
  <c r="N10" i="1" s="1"/>
  <c r="N9" i="1" s="1"/>
  <c r="R76" i="1"/>
  <c r="S77" i="1"/>
  <c r="AA12" i="1" l="1"/>
  <c r="AA11" i="1" s="1"/>
  <c r="AA10" i="1" s="1"/>
  <c r="AA9" i="1" s="1"/>
  <c r="Q13" i="1"/>
  <c r="Q74" i="1"/>
  <c r="P73" i="1"/>
  <c r="Q73" i="1" s="1"/>
  <c r="L26" i="1"/>
  <c r="K25" i="1"/>
  <c r="AB19" i="1"/>
  <c r="S19" i="1"/>
  <c r="P59" i="1"/>
  <c r="Q59" i="1" s="1"/>
  <c r="Q60" i="1"/>
  <c r="P27" i="1"/>
  <c r="R74" i="1"/>
  <c r="S76" i="1"/>
  <c r="W26" i="1"/>
  <c r="V25" i="1"/>
  <c r="W25" i="1" s="1"/>
  <c r="S14" i="1"/>
  <c r="R13" i="1"/>
  <c r="W16" i="1"/>
  <c r="V13" i="1"/>
  <c r="AB35" i="1"/>
  <c r="S35" i="1"/>
  <c r="R33" i="1"/>
  <c r="S33" i="1" s="1"/>
  <c r="V73" i="1"/>
  <c r="W73" i="1" s="1"/>
  <c r="W74" i="1"/>
  <c r="K64" i="1"/>
  <c r="L65" i="1"/>
  <c r="Z12" i="1"/>
  <c r="Y11" i="1"/>
  <c r="R31" i="1"/>
  <c r="AB32" i="1"/>
  <c r="S32" i="1"/>
  <c r="AB51" i="1"/>
  <c r="R50" i="1"/>
  <c r="S51" i="1"/>
  <c r="P45" i="1"/>
  <c r="Q45" i="1" s="1"/>
  <c r="R60" i="1"/>
  <c r="S61" i="1"/>
  <c r="L25" i="1" l="1"/>
  <c r="K12" i="1"/>
  <c r="S50" i="1"/>
  <c r="R45" i="1"/>
  <c r="S45" i="1" s="1"/>
  <c r="S31" i="1"/>
  <c r="S27" i="1" s="1"/>
  <c r="S26" i="1" s="1"/>
  <c r="S25" i="1" s="1"/>
  <c r="R27" i="1"/>
  <c r="R26" i="1" s="1"/>
  <c r="R25" i="1" s="1"/>
  <c r="L64" i="1"/>
  <c r="K63" i="1"/>
  <c r="L63" i="1" s="1"/>
  <c r="S13" i="1"/>
  <c r="R12" i="1"/>
  <c r="S60" i="1"/>
  <c r="R59" i="1"/>
  <c r="S59" i="1" s="1"/>
  <c r="Y10" i="1"/>
  <c r="Z11" i="1"/>
  <c r="R73" i="1"/>
  <c r="S73" i="1" s="1"/>
  <c r="S74" i="1"/>
  <c r="W13" i="1"/>
  <c r="V12" i="1"/>
  <c r="P26" i="1"/>
  <c r="Q27" i="1"/>
  <c r="P25" i="1" l="1"/>
  <c r="Q26" i="1"/>
  <c r="W12" i="1"/>
  <c r="V11" i="1"/>
  <c r="S12" i="1"/>
  <c r="R11" i="1"/>
  <c r="K11" i="1"/>
  <c r="L12" i="1"/>
  <c r="Y9" i="1"/>
  <c r="Z9" i="1" s="1"/>
  <c r="Z10" i="1"/>
  <c r="W11" i="1" l="1"/>
  <c r="V10" i="1"/>
  <c r="Q25" i="1"/>
  <c r="P12" i="1"/>
  <c r="L11" i="1"/>
  <c r="K10" i="1"/>
  <c r="S11" i="1"/>
  <c r="R10" i="1"/>
  <c r="S10" i="1" l="1"/>
  <c r="R9" i="1"/>
  <c r="S9" i="1" s="1"/>
  <c r="P11" i="1"/>
  <c r="Q12" i="1"/>
  <c r="L10" i="1"/>
  <c r="K9" i="1"/>
  <c r="L9" i="1" s="1"/>
  <c r="W10" i="1"/>
  <c r="V9" i="1"/>
  <c r="W9" i="1" s="1"/>
  <c r="P10" i="1" l="1"/>
  <c r="Q11" i="1"/>
  <c r="Q10" i="1" l="1"/>
  <c r="P9" i="1"/>
  <c r="Q9" i="1" s="1"/>
</calcChain>
</file>

<file path=xl/comments1.xml><?xml version="1.0" encoding="utf-8"?>
<comments xmlns="http://schemas.openxmlformats.org/spreadsheetml/2006/main">
  <authors>
    <author>edwa13</author>
    <author>edwa11</author>
    <author>USUARIO</author>
  </authors>
  <commentList>
    <comment ref="O23" authorId="0" shapeId="0">
      <text>
        <r>
          <rPr>
            <b/>
            <sz val="9"/>
            <color indexed="81"/>
            <rFont val="Tahoma"/>
            <family val="2"/>
          </rPr>
          <t>LIBERACION RAFAEL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3" authorId="0" shapeId="0">
      <text>
        <r>
          <rPr>
            <b/>
            <sz val="9"/>
            <color indexed="81"/>
            <rFont val="Tahoma"/>
            <family val="2"/>
          </rPr>
          <t>saldo por pagar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</rPr>
          <t>Vr Lb: 7,024,409 mas iva 1,034,325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3" authorId="0" shapeId="0">
      <text>
        <r>
          <rPr>
            <b/>
            <sz val="9"/>
            <color indexed="81"/>
            <rFont val="Tahoma"/>
            <family val="2"/>
          </rPr>
          <t>Vlor libro:5,469,000 mas iva 982,687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4" authorId="1" shapeId="0">
      <text>
        <r>
          <rPr>
            <b/>
            <sz val="9"/>
            <color indexed="81"/>
            <rFont val="Tahoma"/>
            <family val="2"/>
          </rPr>
          <t>Vlor libro:1,677,520 mas iva 309,053</t>
        </r>
      </text>
    </comment>
    <comment ref="X54" authorId="2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revizar ultimo valor pago</t>
        </r>
      </text>
    </comment>
    <comment ref="V57" authorId="1" shapeId="0">
      <text>
        <r>
          <rPr>
            <b/>
            <sz val="9"/>
            <color indexed="81"/>
            <rFont val="Tahoma"/>
            <family val="2"/>
          </rPr>
          <t>Vlor libro:1,999,698 mas iva 83,600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Valor en libros 96,643,312 + iva 879,539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<sst xmlns="http://schemas.openxmlformats.org/spreadsheetml/2006/main" count="187" uniqueCount="179">
  <si>
    <t>EMPRESA DE DESARROLLO URBANO DE ARMENIA LTDA EDUA</t>
  </si>
  <si>
    <t>NIT. 890.001.424-3</t>
  </si>
  <si>
    <t>EJECUCIÓN PRESUPUESTAL DE GASTOS NOVIEMBRE DE 2018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</si>
  <si>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</si>
  <si>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</si>
  <si>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</si>
  <si>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</si>
  <si>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</si>
  <si>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</si>
  <si>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</si>
  <si>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</si>
  <si>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</si>
  <si>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</si>
  <si>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</si>
  <si>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</si>
  <si>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</si>
  <si>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</si>
  <si>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</si>
  <si>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</si>
  <si>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</si>
  <si>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</si>
  <si>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</si>
  <si>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</si>
  <si>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</si>
  <si>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</si>
  <si>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</si>
  <si>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</si>
  <si>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REDUCCION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</si>
  <si>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</si>
  <si>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</si>
  <si>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</si>
  <si>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</si>
  <si>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</si>
  <si>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</si>
  <si>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</si>
  <si>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</si>
  <si>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</si>
  <si>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</si>
  <si>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</si>
  <si>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</si>
  <si>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REDUCCION VACACIONES ANDRES</t>
  </si>
  <si>
    <t>reduccion marcela</t>
  </si>
  <si>
    <t>2.1.01.01</t>
  </si>
  <si>
    <t>Servicios Personales Asociados a la Nómina</t>
  </si>
  <si>
    <t>reduccion carmen</t>
  </si>
  <si>
    <t>2.1.01.01.01</t>
  </si>
  <si>
    <t>Sueldos de Personal de Nómina</t>
  </si>
  <si>
    <t>total reduccion</t>
  </si>
  <si>
    <t>pasante</t>
  </si>
  <si>
    <t>salario carmen tiempo que no estuvo</t>
  </si>
  <si>
    <t>2.1.01.01.01.01</t>
  </si>
  <si>
    <t>Sueldos</t>
  </si>
  <si>
    <t>liberacion andres por vacaciones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</si>
  <si>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</si>
  <si>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</si>
  <si>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</si>
  <si>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</si>
  <si>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</si>
  <si>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</si>
  <si>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</si>
  <si>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</si>
  <si>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</si>
  <si>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</si>
  <si>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</si>
  <si>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</si>
  <si>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</si>
  <si>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</si>
  <si>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</si>
  <si>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</si>
  <si>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</si>
  <si>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</si>
  <si>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</si>
  <si>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</si>
  <si>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</si>
  <si>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</si>
  <si>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</si>
  <si>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</si>
  <si>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</si>
  <si>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</si>
  <si>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</si>
  <si>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</si>
  <si>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</si>
  <si>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 xml:space="preserve">Fondos de Cesantías </t>
  </si>
  <si>
    <t>2.1.01.03.01.01.03</t>
  </si>
  <si>
    <t>Pensiones</t>
  </si>
  <si>
    <t>2.1.01.03.01.01.03.01</t>
  </si>
  <si>
    <t>Fondos de Pensiones Prima media.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</si>
  <si>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</si>
  <si>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</si>
  <si>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</si>
  <si>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</si>
  <si>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</si>
  <si>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</si>
  <si>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</si>
  <si>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</si>
  <si>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</si>
  <si>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</si>
  <si>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</si>
  <si>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</si>
  <si>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Fondos de Pensiones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</si>
  <si>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</si>
  <si>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</si>
  <si>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</si>
  <si>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</si>
  <si>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</si>
  <si>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</si>
  <si>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</si>
  <si>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</si>
  <si>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</si>
  <si>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</si>
  <si>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</si>
  <si>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</si>
  <si>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</si>
  <si>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</si>
  <si>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</si>
  <si>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</si>
  <si>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</si>
  <si>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</si>
  <si>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</si>
  <si>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</si>
  <si>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</si>
  <si>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</si>
  <si>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</si>
  <si>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</si>
  <si>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liberacion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</si>
  <si>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</si>
  <si>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</si>
  <si>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</si>
  <si>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</si>
  <si>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</si>
  <si>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</si>
  <si>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</si>
  <si>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</si>
  <si>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</si>
  <si>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</si>
  <si>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</si>
  <si>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</si>
  <si>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</si>
  <si>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</si>
  <si>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</si>
  <si>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</si>
  <si>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</si>
  <si>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</si>
  <si>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</si>
  <si>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</si>
  <si>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</si>
  <si>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</si>
  <si>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</si>
  <si>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</si>
  <si>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</si>
  <si>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</si>
  <si>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</si>
  <si>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</si>
  <si>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</si>
  <si>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alfredo</t>
  </si>
  <si>
    <t>2.2.01.98.98.02</t>
  </si>
  <si>
    <t>Contrato Interadministrativo No. 023 de 2016 - SETTA</t>
  </si>
  <si>
    <t>2.2.01.98.98.03</t>
  </si>
  <si>
    <t>Otros Gastos</t>
  </si>
  <si>
    <t>2.2.01.98.98.03.01</t>
  </si>
  <si>
    <t>Contrato Interadministrativo  ORNATO, SIEMBRA Y MANTENIMIENTO DE JARDINES</t>
  </si>
  <si>
    <t>2.2.01.98.98.03.04</t>
  </si>
  <si>
    <t>Contrato interadministrativo No. 003 de 2018 - INFRAESTRUCTURA</t>
  </si>
  <si>
    <t>2.2.01.98.98.03.10</t>
  </si>
  <si>
    <t>Otros Contratos Interadministrativos</t>
  </si>
  <si>
    <t>CONTRATOS INTERADMINISTRATIVOS DE LA VIGENCIA ANTERIOR</t>
  </si>
  <si>
    <t>4.1</t>
  </si>
  <si>
    <t>4.1.01.98</t>
  </si>
  <si>
    <t>4.1.01.98.98</t>
  </si>
  <si>
    <t>4.1.01.98.98.03.18</t>
  </si>
  <si>
    <t>IV JUEGOS  CENTROAMERICANOS 2013 CIA</t>
  </si>
  <si>
    <t>REVISO</t>
  </si>
  <si>
    <t>ELABORO</t>
  </si>
  <si>
    <t>JULIAN MAURICIO JARA MORALES</t>
  </si>
  <si>
    <t>ANDRES MAURICIO OLARTE VALDERRAMA</t>
  </si>
  <si>
    <t xml:space="preserve">GERENTE </t>
  </si>
  <si>
    <t>DIRECTORA ADMINISTRATIVA Y FINANCIERA</t>
  </si>
  <si>
    <t>EMPRESA DE DESARROLLO URBANO DE ARMENIA LTDA. EDUA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</si>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</sst>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12"/>
      <color rgb="FF404040"/>
      <name val="Verdan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0" fontId="2" fillId="0" borderId="7" xfId="3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4" fillId="0" borderId="7" xfId="3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7" fillId="2" borderId="16" xfId="0" applyNumberFormat="1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wrapText="1"/>
    </xf>
    <xf numFmtId="166" fontId="3" fillId="0" borderId="0" xfId="1" applyFont="1"/>
    <xf numFmtId="166" fontId="3" fillId="0" borderId="0" xfId="0" applyNumberFormat="1" applyFont="1"/>
    <xf numFmtId="0" fontId="9" fillId="3" borderId="18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/>
    </xf>
    <xf numFmtId="165" fontId="9" fillId="3" borderId="10" xfId="2" applyNumberFormat="1" applyFont="1" applyFill="1" applyBorder="1" applyProtection="1"/>
    <xf numFmtId="164" fontId="9" fillId="3" borderId="19" xfId="2" applyNumberFormat="1" applyFont="1" applyFill="1" applyBorder="1" applyProtection="1"/>
    <xf numFmtId="165" fontId="9" fillId="3" borderId="19" xfId="2" applyNumberFormat="1" applyFont="1" applyFill="1" applyBorder="1" applyProtection="1"/>
    <xf numFmtId="10" fontId="9" fillId="3" borderId="19" xfId="3" applyNumberFormat="1" applyFont="1" applyFill="1" applyBorder="1"/>
    <xf numFmtId="10" fontId="9" fillId="3" borderId="13" xfId="3" applyNumberFormat="1" applyFont="1" applyFill="1" applyBorder="1"/>
    <xf numFmtId="165" fontId="9" fillId="3" borderId="20" xfId="2" applyNumberFormat="1" applyFont="1" applyFill="1" applyBorder="1" applyProtection="1"/>
    <xf numFmtId="0" fontId="9" fillId="3" borderId="12" xfId="0" applyFont="1" applyFill="1" applyBorder="1"/>
    <xf numFmtId="0" fontId="9" fillId="3" borderId="13" xfId="0" applyFont="1" applyFill="1" applyBorder="1"/>
    <xf numFmtId="165" fontId="9" fillId="3" borderId="13" xfId="2" applyNumberFormat="1" applyFont="1" applyFill="1" applyBorder="1" applyProtection="1"/>
    <xf numFmtId="164" fontId="9" fillId="3" borderId="13" xfId="2" applyNumberFormat="1" applyFont="1" applyFill="1" applyBorder="1" applyProtection="1"/>
    <xf numFmtId="164" fontId="9" fillId="3" borderId="13" xfId="2" applyFont="1" applyFill="1" applyBorder="1" applyProtection="1"/>
    <xf numFmtId="165" fontId="9" fillId="3" borderId="13" xfId="2" applyNumberFormat="1" applyFont="1" applyFill="1" applyBorder="1"/>
    <xf numFmtId="165" fontId="9" fillId="3" borderId="14" xfId="2" applyNumberFormat="1" applyFont="1" applyFill="1" applyBorder="1"/>
    <xf numFmtId="165" fontId="9" fillId="3" borderId="14" xfId="2" applyNumberFormat="1" applyFont="1" applyFill="1" applyBorder="1" applyProtection="1"/>
    <xf numFmtId="165" fontId="9" fillId="3" borderId="16" xfId="2" applyNumberFormat="1" applyFont="1" applyFill="1" applyBorder="1" applyProtection="1"/>
    <xf numFmtId="49" fontId="10" fillId="4" borderId="12" xfId="0" applyNumberFormat="1" applyFont="1" applyFill="1" applyBorder="1"/>
    <xf numFmtId="49" fontId="10" fillId="4" borderId="13" xfId="0" applyNumberFormat="1" applyFont="1" applyFill="1" applyBorder="1"/>
    <xf numFmtId="165" fontId="11" fillId="0" borderId="10" xfId="2" applyNumberFormat="1" applyFont="1" applyFill="1" applyBorder="1"/>
    <xf numFmtId="164" fontId="11" fillId="0" borderId="13" xfId="2" applyNumberFormat="1" applyFont="1" applyFill="1" applyBorder="1"/>
    <xf numFmtId="165" fontId="11" fillId="4" borderId="13" xfId="2" applyNumberFormat="1" applyFont="1" applyFill="1" applyBorder="1"/>
    <xf numFmtId="164" fontId="11" fillId="4" borderId="13" xfId="2" applyFont="1" applyFill="1" applyBorder="1"/>
    <xf numFmtId="10" fontId="11" fillId="4" borderId="13" xfId="3" applyNumberFormat="1" applyFont="1" applyFill="1" applyBorder="1"/>
    <xf numFmtId="165" fontId="11" fillId="0" borderId="13" xfId="2" applyNumberFormat="1" applyFont="1" applyFill="1" applyBorder="1"/>
    <xf numFmtId="10" fontId="11" fillId="0" borderId="13" xfId="3" applyNumberFormat="1" applyFont="1" applyFill="1" applyBorder="1"/>
    <xf numFmtId="165" fontId="11" fillId="0" borderId="14" xfId="2" applyNumberFormat="1" applyFont="1" applyFill="1" applyBorder="1"/>
    <xf numFmtId="0" fontId="3" fillId="4" borderId="0" xfId="0" applyFont="1" applyFill="1"/>
    <xf numFmtId="0" fontId="10" fillId="4" borderId="12" xfId="0" applyFont="1" applyFill="1" applyBorder="1"/>
    <xf numFmtId="0" fontId="10" fillId="4" borderId="13" xfId="0" applyFont="1" applyFill="1" applyBorder="1"/>
    <xf numFmtId="166" fontId="3" fillId="5" borderId="0" xfId="1" applyFont="1" applyFill="1"/>
    <xf numFmtId="166" fontId="8" fillId="0" borderId="0" xfId="0" applyNumberFormat="1" applyFont="1"/>
    <xf numFmtId="166" fontId="8" fillId="0" borderId="0" xfId="1" applyFont="1"/>
    <xf numFmtId="166" fontId="3" fillId="4" borderId="0" xfId="0" applyNumberFormat="1" applyFont="1" applyFill="1"/>
    <xf numFmtId="166" fontId="8" fillId="4" borderId="0" xfId="0" applyNumberFormat="1" applyFont="1" applyFill="1"/>
    <xf numFmtId="165" fontId="3" fillId="5" borderId="0" xfId="0" applyNumberFormat="1" applyFont="1" applyFill="1"/>
    <xf numFmtId="165" fontId="11" fillId="0" borderId="16" xfId="2" applyNumberFormat="1" applyFont="1" applyFill="1" applyBorder="1"/>
    <xf numFmtId="165" fontId="9" fillId="3" borderId="21" xfId="2" applyNumberFormat="1" applyFont="1" applyFill="1" applyBorder="1" applyProtection="1"/>
    <xf numFmtId="164" fontId="11" fillId="4" borderId="13" xfId="2" applyNumberFormat="1" applyFont="1" applyFill="1" applyBorder="1"/>
    <xf numFmtId="165" fontId="11" fillId="4" borderId="14" xfId="2" applyNumberFormat="1" applyFont="1" applyFill="1" applyBorder="1"/>
    <xf numFmtId="165" fontId="3" fillId="0" borderId="0" xfId="0" applyNumberFormat="1" applyFont="1"/>
    <xf numFmtId="0" fontId="3" fillId="5" borderId="0" xfId="0" applyFont="1" applyFill="1"/>
    <xf numFmtId="165" fontId="3" fillId="4" borderId="0" xfId="0" applyNumberFormat="1" applyFont="1" applyFill="1"/>
    <xf numFmtId="165" fontId="9" fillId="3" borderId="13" xfId="0" applyNumberFormat="1" applyFont="1" applyFill="1" applyBorder="1" applyProtection="1"/>
    <xf numFmtId="164" fontId="9" fillId="3" borderId="13" xfId="0" applyNumberFormat="1" applyFont="1" applyFill="1" applyBorder="1" applyProtection="1"/>
    <xf numFmtId="165" fontId="9" fillId="3" borderId="14" xfId="0" applyNumberFormat="1" applyFont="1" applyFill="1" applyBorder="1" applyProtection="1"/>
    <xf numFmtId="165" fontId="9" fillId="3" borderId="22" xfId="2" applyNumberFormat="1" applyFont="1" applyFill="1" applyBorder="1" applyProtection="1"/>
    <xf numFmtId="1" fontId="12" fillId="0" borderId="0" xfId="0" applyNumberFormat="1" applyFont="1"/>
    <xf numFmtId="0" fontId="11" fillId="4" borderId="12" xfId="0" applyFont="1" applyFill="1" applyBorder="1"/>
    <xf numFmtId="0" fontId="11" fillId="4" borderId="13" xfId="0" applyFont="1" applyFill="1" applyBorder="1"/>
    <xf numFmtId="165" fontId="11" fillId="0" borderId="23" xfId="2" applyNumberFormat="1" applyFont="1" applyFill="1" applyBorder="1"/>
    <xf numFmtId="165" fontId="13" fillId="0" borderId="0" xfId="2" applyNumberFormat="1" applyFont="1" applyFill="1"/>
    <xf numFmtId="167" fontId="10" fillId="0" borderId="13" xfId="1" applyNumberFormat="1" applyFont="1" applyFill="1" applyBorder="1"/>
    <xf numFmtId="165" fontId="3" fillId="0" borderId="0" xfId="0" applyNumberFormat="1" applyFont="1" applyFill="1"/>
    <xf numFmtId="167" fontId="3" fillId="5" borderId="0" xfId="1" applyNumberFormat="1" applyFont="1" applyFill="1"/>
    <xf numFmtId="164" fontId="3" fillId="4" borderId="0" xfId="0" applyNumberFormat="1" applyFont="1" applyFill="1"/>
    <xf numFmtId="4" fontId="10" fillId="4" borderId="12" xfId="0" applyNumberFormat="1" applyFont="1" applyFill="1" applyBorder="1"/>
    <xf numFmtId="165" fontId="14" fillId="0" borderId="0" xfId="2" applyNumberFormat="1" applyFont="1" applyFill="1"/>
    <xf numFmtId="167" fontId="10" fillId="0" borderId="0" xfId="1" applyNumberFormat="1" applyFont="1" applyFill="1"/>
    <xf numFmtId="9" fontId="9" fillId="3" borderId="13" xfId="3" applyFont="1" applyFill="1" applyBorder="1" applyProtection="1"/>
    <xf numFmtId="164" fontId="9" fillId="3" borderId="22" xfId="2" applyNumberFormat="1" applyFont="1" applyFill="1" applyBorder="1" applyProtection="1"/>
    <xf numFmtId="9" fontId="9" fillId="3" borderId="22" xfId="3" applyFont="1" applyFill="1" applyBorder="1" applyProtection="1"/>
    <xf numFmtId="165" fontId="10" fillId="0" borderId="14" xfId="2" applyNumberFormat="1" applyFont="1" applyFill="1" applyBorder="1"/>
    <xf numFmtId="44" fontId="3" fillId="5" borderId="0" xfId="0" applyNumberFormat="1" applyFont="1" applyFill="1"/>
    <xf numFmtId="44" fontId="3" fillId="4" borderId="0" xfId="0" applyNumberFormat="1" applyFont="1" applyFill="1"/>
    <xf numFmtId="0" fontId="9" fillId="3" borderId="13" xfId="0" applyFont="1" applyFill="1" applyBorder="1" applyProtection="1"/>
    <xf numFmtId="0" fontId="8" fillId="4" borderId="0" xfId="0" applyFont="1" applyFill="1"/>
    <xf numFmtId="0" fontId="10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wrapText="1"/>
    </xf>
    <xf numFmtId="166" fontId="8" fillId="5" borderId="0" xfId="1" applyFont="1" applyFill="1"/>
    <xf numFmtId="165" fontId="10" fillId="0" borderId="13" xfId="2" applyNumberFormat="1" applyFont="1" applyFill="1" applyBorder="1"/>
    <xf numFmtId="0" fontId="11" fillId="4" borderId="13" xfId="3" applyNumberFormat="1" applyFont="1" applyFill="1" applyBorder="1"/>
    <xf numFmtId="166" fontId="8" fillId="4" borderId="0" xfId="1" applyFont="1" applyFill="1"/>
    <xf numFmtId="0" fontId="9" fillId="3" borderId="12" xfId="0" applyFont="1" applyFill="1" applyBorder="1" applyAlignment="1" applyProtection="1">
      <alignment horizontal="left"/>
    </xf>
    <xf numFmtId="0" fontId="9" fillId="3" borderId="12" xfId="0" applyFont="1" applyFill="1" applyBorder="1" applyProtection="1"/>
    <xf numFmtId="9" fontId="11" fillId="4" borderId="13" xfId="3" applyFont="1" applyFill="1" applyBorder="1"/>
    <xf numFmtId="9" fontId="11" fillId="0" borderId="13" xfId="3" applyFont="1" applyFill="1" applyBorder="1"/>
    <xf numFmtId="0" fontId="3" fillId="0" borderId="0" xfId="0" applyFont="1" applyFill="1"/>
    <xf numFmtId="0" fontId="11" fillId="0" borderId="13" xfId="0" applyFont="1" applyFill="1" applyBorder="1"/>
    <xf numFmtId="164" fontId="11" fillId="0" borderId="13" xfId="0" applyNumberFormat="1" applyFont="1" applyFill="1" applyBorder="1"/>
    <xf numFmtId="0" fontId="15" fillId="0" borderId="0" xfId="0" applyFont="1" applyFill="1" applyBorder="1"/>
    <xf numFmtId="0" fontId="3" fillId="0" borderId="0" xfId="0" applyFont="1" applyFill="1" applyBorder="1"/>
    <xf numFmtId="164" fontId="15" fillId="0" borderId="0" xfId="2" applyFont="1" applyFill="1" applyBorder="1"/>
    <xf numFmtId="164" fontId="15" fillId="0" borderId="0" xfId="2" applyNumberFormat="1" applyFont="1" applyFill="1" applyBorder="1"/>
    <xf numFmtId="165" fontId="15" fillId="0" borderId="0" xfId="2" applyNumberFormat="1" applyFont="1" applyFill="1" applyBorder="1"/>
    <xf numFmtId="10" fontId="15" fillId="0" borderId="0" xfId="3" applyNumberFormat="1" applyFont="1" applyFill="1" applyBorder="1"/>
    <xf numFmtId="0" fontId="16" fillId="0" borderId="0" xfId="0" applyFont="1" applyFill="1" applyBorder="1"/>
    <xf numFmtId="0" fontId="17" fillId="0" borderId="24" xfId="0" applyFont="1" applyFill="1" applyBorder="1"/>
    <xf numFmtId="164" fontId="15" fillId="0" borderId="24" xfId="2" applyFont="1" applyFill="1" applyBorder="1"/>
    <xf numFmtId="164" fontId="17" fillId="0" borderId="24" xfId="2" applyNumberFormat="1" applyFont="1" applyFill="1" applyBorder="1"/>
    <xf numFmtId="164" fontId="17" fillId="0" borderId="0" xfId="2" applyNumberFormat="1" applyFont="1" applyFill="1" applyBorder="1"/>
    <xf numFmtId="165" fontId="17" fillId="0" borderId="0" xfId="2" applyNumberFormat="1" applyFont="1" applyFill="1" applyBorder="1"/>
    <xf numFmtId="164" fontId="17" fillId="0" borderId="0" xfId="2" applyFont="1" applyFill="1" applyBorder="1"/>
    <xf numFmtId="164" fontId="17" fillId="0" borderId="24" xfId="2" applyFont="1" applyFill="1" applyBorder="1"/>
    <xf numFmtId="10" fontId="17" fillId="0" borderId="24" xfId="3" applyNumberFormat="1" applyFont="1" applyFill="1" applyBorder="1"/>
    <xf numFmtId="166" fontId="18" fillId="0" borderId="24" xfId="1" applyFont="1" applyFill="1" applyBorder="1"/>
    <xf numFmtId="0" fontId="18" fillId="0" borderId="24" xfId="3" applyNumberFormat="1" applyFont="1" applyFill="1" applyBorder="1"/>
    <xf numFmtId="164" fontId="19" fillId="0" borderId="0" xfId="2" applyFont="1" applyFill="1" applyBorder="1"/>
    <xf numFmtId="10" fontId="17" fillId="0" borderId="0" xfId="3" applyNumberFormat="1" applyFont="1" applyFill="1" applyBorder="1"/>
    <xf numFmtId="0" fontId="16" fillId="0" borderId="0" xfId="0" applyFont="1" applyFill="1"/>
    <xf numFmtId="0" fontId="16" fillId="0" borderId="0" xfId="0" applyFont="1"/>
    <xf numFmtId="0" fontId="20" fillId="0" borderId="0" xfId="0" applyFont="1"/>
    <xf numFmtId="164" fontId="17" fillId="0" borderId="0" xfId="2" applyFont="1" applyFill="1" applyBorder="1" applyAlignment="1">
      <alignment vertical="top"/>
    </xf>
    <xf numFmtId="164" fontId="20" fillId="0" borderId="0" xfId="0" applyNumberFormat="1" applyFont="1"/>
    <xf numFmtId="0" fontId="17" fillId="0" borderId="0" xfId="0" applyFont="1"/>
    <xf numFmtId="0" fontId="21" fillId="0" borderId="0" xfId="0" applyFont="1"/>
    <xf numFmtId="0" fontId="22" fillId="0" borderId="0" xfId="0" applyFont="1"/>
    <xf numFmtId="166" fontId="22" fillId="0" borderId="0" xfId="0" applyNumberFormat="1" applyFont="1"/>
    <xf numFmtId="0" fontId="20" fillId="0" borderId="0" xfId="0" applyFont="1" applyBorder="1"/>
    <xf numFmtId="165" fontId="22" fillId="0" borderId="0" xfId="0" applyNumberFormat="1" applyFont="1"/>
    <xf numFmtId="164" fontId="16" fillId="0" borderId="0" xfId="0" applyNumberFormat="1" applyFont="1"/>
    <xf numFmtId="0" fontId="22" fillId="0" borderId="0" xfId="0" applyNumberFormat="1" applyFont="1"/>
    <xf numFmtId="0" fontId="15" fillId="0" borderId="0" xfId="0" applyFont="1"/>
    <xf numFmtId="164" fontId="15" fillId="0" borderId="0" xfId="0" applyNumberFormat="1" applyFont="1"/>
    <xf numFmtId="165" fontId="15" fillId="0" borderId="0" xfId="0" applyNumberFormat="1" applyFont="1"/>
    <xf numFmtId="164" fontId="3" fillId="0" borderId="0" xfId="0" applyNumberFormat="1" applyFont="1"/>
    <xf numFmtId="10" fontId="3" fillId="0" borderId="0" xfId="0" applyNumberFormat="1" applyFont="1"/>
    <xf numFmtId="10" fontId="3" fillId="0" borderId="0" xfId="3" applyNumberFormat="1" applyFont="1"/>
    <xf numFmtId="167" fontId="3" fillId="0" borderId="0" xfId="1" applyNumberFormat="1" applyFont="1"/>
    <xf numFmtId="0" fontId="3" fillId="0" borderId="0" xfId="0" applyNumberFormat="1" applyFont="1"/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10" fontId="7" fillId="2" borderId="10" xfId="3" applyNumberFormat="1" applyFont="1" applyFill="1" applyBorder="1" applyAlignment="1">
      <alignment horizontal="center" vertical="center" wrapText="1"/>
    </xf>
    <xf numFmtId="10" fontId="7" fillId="2" borderId="13" xfId="3" applyNumberFormat="1" applyFont="1" applyFill="1" applyBorder="1" applyAlignment="1">
      <alignment horizontal="center" vertical="center" wrapText="1"/>
    </xf>
    <xf numFmtId="10" fontId="7" fillId="2" borderId="16" xfId="3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0" fontId="7" fillId="2" borderId="10" xfId="0" applyNumberFormat="1" applyFont="1" applyFill="1" applyBorder="1" applyAlignment="1">
      <alignment horizontal="center" vertical="center" wrapText="1"/>
    </xf>
    <xf numFmtId="10" fontId="7" fillId="2" borderId="13" xfId="0" applyNumberFormat="1" applyFont="1" applyFill="1" applyBorder="1" applyAlignment="1">
      <alignment horizontal="center" vertical="center" wrapText="1"/>
    </xf>
    <xf numFmtId="10" fontId="7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381000</xdr:colOff>
      <xdr:row>2</xdr:row>
      <xdr:rowOff>180975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381000</xdr:colOff>
      <xdr:row>2</xdr:row>
      <xdr:rowOff>180975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PRESUPUESTO%20DE%20GASTOS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Mauricio/Downloads/ANEXO%20PROYECCI&#211;N%20DE%20GASTOS%20E%20INVERSION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-RP ENE"/>
      <sheetName val="ENERO"/>
      <sheetName val="CDP-RP FEB"/>
      <sheetName val="FEBRERO"/>
      <sheetName val="CDP-RP MAR"/>
      <sheetName val="MARZO"/>
      <sheetName val="CDP-RP ABR"/>
      <sheetName val="ABRIL"/>
      <sheetName val="CDP-RP MAY"/>
      <sheetName val="MAYO"/>
      <sheetName val="CDP-RP JUN"/>
      <sheetName val="JUNIO"/>
      <sheetName val="CDP-RP JUL"/>
      <sheetName val="JULIO "/>
      <sheetName val="CDP-RP AGO"/>
      <sheetName val="AGOSTO"/>
      <sheetName val="CDP-RP SEP"/>
      <sheetName val="SEPTIEMBRE"/>
      <sheetName val="CDP-RP OCT"/>
      <sheetName val="OCTUBRE"/>
      <sheetName val="CDP-RP NOV"/>
      <sheetName val="NOVIEMBRE"/>
      <sheetName val="CDP-RP DIC"/>
      <sheetName val="DICIEMBRE"/>
      <sheetName val="CDP - RP MAR"/>
      <sheetName val="MARZO "/>
      <sheetName val="CDP-RP AB"/>
      <sheetName val="ABR"/>
      <sheetName val="CDP-RP MAYO"/>
      <sheetName val="CUENTAS POR PAGAR"/>
      <sheetName val="CUENTAS POR COBRAR"/>
      <sheetName val="MAY"/>
      <sheetName val="CDP-RP JUNI"/>
      <sheetName val="JUNI"/>
      <sheetName val="CDP-RP JULIO"/>
      <sheetName val="JULIO"/>
      <sheetName val="CDP-RP AGOSTO"/>
      <sheetName val=" AGOSTO"/>
      <sheetName val="CDP-RP SEPT"/>
      <sheetName val="SEPTIEM"/>
      <sheetName val="CDP-RP OCTU"/>
      <sheetName val="OCTUBRE f,"/>
      <sheetName val="PAGOS NOVIEMBRE"/>
      <sheetName val="CDP-RPNOV"/>
      <sheetName val="NOVIEM"/>
      <sheetName val="CDPDIC"/>
      <sheetName val="DI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5">
          <cell r="A75" t="str">
            <v>4.1.01</v>
          </cell>
          <cell r="B75" t="str">
            <v>Otros Gastos</v>
          </cell>
        </row>
        <row r="78">
          <cell r="A78" t="str">
            <v>4.1.01.98.98.01</v>
          </cell>
          <cell r="B78" t="str">
            <v>Contrato inetradministrativo  - CENTRO CULTURAL Y TURISTICO LA ESTACION FASE I</v>
          </cell>
          <cell r="C78">
            <v>0</v>
          </cell>
          <cell r="D78">
            <v>0</v>
          </cell>
          <cell r="E78">
            <v>0</v>
          </cell>
          <cell r="F78">
            <v>142995079</v>
          </cell>
          <cell r="G78">
            <v>0</v>
          </cell>
          <cell r="J78">
            <v>0</v>
          </cell>
          <cell r="M78">
            <v>142995079</v>
          </cell>
          <cell r="O78">
            <v>0</v>
          </cell>
          <cell r="Q78">
            <v>0</v>
          </cell>
          <cell r="S78">
            <v>1</v>
          </cell>
        </row>
        <row r="79">
          <cell r="A79" t="str">
            <v>4.1.01.98.98.05</v>
          </cell>
          <cell r="B79" t="str">
            <v>Contrato interadministrativo Especifico  - ARCHIPIELAGO DE SAN ANDRES Y PROVIDENCIA</v>
          </cell>
          <cell r="C79">
            <v>0</v>
          </cell>
          <cell r="D79">
            <v>0</v>
          </cell>
          <cell r="E79">
            <v>0</v>
          </cell>
          <cell r="F79">
            <v>13237050</v>
          </cell>
          <cell r="G79">
            <v>0</v>
          </cell>
          <cell r="J79">
            <v>0</v>
          </cell>
          <cell r="L79">
            <v>0</v>
          </cell>
          <cell r="M79">
            <v>13237050</v>
          </cell>
          <cell r="O79">
            <v>0</v>
          </cell>
          <cell r="Q79">
            <v>0</v>
          </cell>
          <cell r="S79">
            <v>1</v>
          </cell>
        </row>
        <row r="80">
          <cell r="A80" t="str">
            <v>4.1.01.98.98.10</v>
          </cell>
          <cell r="B80" t="str">
            <v>Contrato Interadministrativo Zoonosis</v>
          </cell>
          <cell r="C80">
            <v>0</v>
          </cell>
          <cell r="D80">
            <v>65000000</v>
          </cell>
          <cell r="E80">
            <v>0</v>
          </cell>
          <cell r="F80">
            <v>0</v>
          </cell>
          <cell r="G80">
            <v>0</v>
          </cell>
          <cell r="J80">
            <v>0</v>
          </cell>
          <cell r="L80">
            <v>0.96479226446153843</v>
          </cell>
          <cell r="M80">
            <v>2288502.8100000024</v>
          </cell>
          <cell r="O80">
            <v>0</v>
          </cell>
          <cell r="Q80">
            <v>0.96479226446153843</v>
          </cell>
          <cell r="S80">
            <v>3.5207735538461578E-2</v>
          </cell>
        </row>
        <row r="81">
          <cell r="A81" t="str">
            <v>4.1.01.98.98.03.13</v>
          </cell>
          <cell r="B81" t="str">
            <v>Contrato Interadministrativo Estudio Suelos</v>
          </cell>
          <cell r="C81">
            <v>0</v>
          </cell>
          <cell r="D81">
            <v>0</v>
          </cell>
          <cell r="E81">
            <v>0</v>
          </cell>
          <cell r="F81">
            <v>90166</v>
          </cell>
          <cell r="G81">
            <v>0</v>
          </cell>
          <cell r="J81">
            <v>0</v>
          </cell>
          <cell r="L81">
            <v>1</v>
          </cell>
          <cell r="M81">
            <v>0</v>
          </cell>
          <cell r="O81">
            <v>0</v>
          </cell>
          <cell r="Q81">
            <v>1</v>
          </cell>
          <cell r="S81">
            <v>0</v>
          </cell>
        </row>
        <row r="82">
          <cell r="A82" t="str">
            <v>4.1.01.98.98.03.16</v>
          </cell>
          <cell r="B82" t="str">
            <v>Contrato Interadministrativo  /PLACITA</v>
          </cell>
          <cell r="D82">
            <v>248076068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0.90207023581170276</v>
          </cell>
          <cell r="M82">
            <v>24294030.840000004</v>
          </cell>
          <cell r="O82">
            <v>0</v>
          </cell>
          <cell r="Q82">
            <v>0.90207023581170276</v>
          </cell>
          <cell r="S82">
            <v>9.7929764188297297E-2</v>
          </cell>
        </row>
        <row r="83">
          <cell r="A83" t="str">
            <v>4.1.01.98.98.03.17</v>
          </cell>
          <cell r="B83" t="str">
            <v>Contrato Interadministrativo / PARADERO DE TAXISTAS</v>
          </cell>
          <cell r="C83">
            <v>0</v>
          </cell>
          <cell r="D83">
            <v>70598645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0.96147453297439356</v>
          </cell>
          <cell r="M83">
            <v>2719845.7699999958</v>
          </cell>
          <cell r="O83">
            <v>0</v>
          </cell>
          <cell r="Q83">
            <v>0.96147453297439356</v>
          </cell>
          <cell r="S83">
            <v>3.8525467025606455E-2</v>
          </cell>
        </row>
      </sheetData>
      <sheetData sheetId="38">
        <row r="59">
          <cell r="C59">
            <v>0</v>
          </cell>
        </row>
      </sheetData>
      <sheetData sheetId="39">
        <row r="62">
          <cell r="P62">
            <v>0</v>
          </cell>
        </row>
      </sheetData>
      <sheetData sheetId="40"/>
      <sheetData sheetId="41">
        <row r="9">
          <cell r="D9">
            <v>419400484</v>
          </cell>
        </row>
        <row r="15">
          <cell r="K15">
            <v>351046692</v>
          </cell>
          <cell r="P15">
            <v>351046692</v>
          </cell>
          <cell r="V15">
            <v>330883328</v>
          </cell>
          <cell r="Y15">
            <v>330883328</v>
          </cell>
        </row>
        <row r="16">
          <cell r="K16">
            <v>8821271</v>
          </cell>
          <cell r="P16">
            <v>8821271</v>
          </cell>
          <cell r="V16">
            <v>8821271</v>
          </cell>
          <cell r="Y16">
            <v>5989428</v>
          </cell>
        </row>
        <row r="17">
          <cell r="K17">
            <v>1830641</v>
          </cell>
          <cell r="P17">
            <v>1830641</v>
          </cell>
          <cell r="V17">
            <v>1830641</v>
          </cell>
          <cell r="Y17">
            <v>1291242</v>
          </cell>
        </row>
        <row r="18">
          <cell r="K18">
            <v>1152323</v>
          </cell>
          <cell r="P18">
            <v>1152323</v>
          </cell>
          <cell r="V18">
            <v>1152323</v>
          </cell>
          <cell r="Y18">
            <v>1152323</v>
          </cell>
        </row>
        <row r="19">
          <cell r="K19">
            <v>14084254</v>
          </cell>
          <cell r="P19">
            <v>14084254</v>
          </cell>
          <cell r="V19">
            <v>14084254</v>
          </cell>
          <cell r="Y19">
            <v>14084254</v>
          </cell>
        </row>
        <row r="20">
          <cell r="K20">
            <v>14259718</v>
          </cell>
          <cell r="P20">
            <v>14259718</v>
          </cell>
          <cell r="V20">
            <v>14259718</v>
          </cell>
          <cell r="Y20">
            <v>10001364</v>
          </cell>
        </row>
        <row r="21">
          <cell r="K21">
            <v>20829910</v>
          </cell>
          <cell r="P21">
            <v>20829910</v>
          </cell>
          <cell r="V21">
            <v>20829910</v>
          </cell>
          <cell r="Y21">
            <v>14711946</v>
          </cell>
        </row>
        <row r="23">
          <cell r="K23">
            <v>111894469</v>
          </cell>
          <cell r="P23">
            <v>111894469</v>
          </cell>
          <cell r="V23">
            <v>79135800</v>
          </cell>
          <cell r="Y23">
            <v>79135800</v>
          </cell>
        </row>
        <row r="24">
          <cell r="K24">
            <v>56426333</v>
          </cell>
          <cell r="P24">
            <v>56426333</v>
          </cell>
          <cell r="V24">
            <v>48286333</v>
          </cell>
          <cell r="Y24">
            <v>44519000</v>
          </cell>
        </row>
        <row r="29">
          <cell r="K29">
            <v>0</v>
          </cell>
          <cell r="P29">
            <v>0</v>
          </cell>
          <cell r="V29">
            <v>0</v>
          </cell>
          <cell r="Y29">
            <v>0</v>
          </cell>
        </row>
        <row r="30">
          <cell r="K30">
            <v>16693653</v>
          </cell>
          <cell r="P30">
            <v>16693653</v>
          </cell>
          <cell r="V30">
            <v>15179769</v>
          </cell>
          <cell r="Y30">
            <v>16693653</v>
          </cell>
        </row>
        <row r="32">
          <cell r="K32">
            <v>19865500</v>
          </cell>
          <cell r="P32">
            <v>19865500</v>
          </cell>
          <cell r="V32">
            <v>19883200</v>
          </cell>
          <cell r="Y32">
            <v>18793000</v>
          </cell>
        </row>
        <row r="34">
          <cell r="K34">
            <v>6563700</v>
          </cell>
          <cell r="P34">
            <v>6563700</v>
          </cell>
          <cell r="V34">
            <v>6563700</v>
          </cell>
          <cell r="Y34">
            <v>5899400</v>
          </cell>
        </row>
        <row r="35">
          <cell r="K35">
            <v>9840500</v>
          </cell>
          <cell r="P35">
            <v>9840500</v>
          </cell>
          <cell r="V35">
            <v>9840500</v>
          </cell>
          <cell r="Y35">
            <v>8844600</v>
          </cell>
        </row>
        <row r="38">
          <cell r="K38">
            <v>4728025</v>
          </cell>
          <cell r="P38">
            <v>4728025</v>
          </cell>
          <cell r="V38">
            <v>4728025</v>
          </cell>
          <cell r="Y38">
            <v>3654192</v>
          </cell>
        </row>
        <row r="39">
          <cell r="K39">
            <v>18073653</v>
          </cell>
          <cell r="P39">
            <v>18073653</v>
          </cell>
          <cell r="V39">
            <v>18175000</v>
          </cell>
          <cell r="Y39">
            <v>15177153</v>
          </cell>
        </row>
        <row r="40">
          <cell r="K40">
            <v>28345700</v>
          </cell>
          <cell r="P40">
            <v>28345700</v>
          </cell>
          <cell r="V40">
            <v>28264000</v>
          </cell>
          <cell r="Y40">
            <v>25425800</v>
          </cell>
        </row>
        <row r="42">
          <cell r="K42">
            <v>1731300</v>
          </cell>
          <cell r="P42">
            <v>1731300</v>
          </cell>
          <cell r="V42">
            <v>1731300</v>
          </cell>
          <cell r="Y42">
            <v>1553700</v>
          </cell>
        </row>
        <row r="44">
          <cell r="K44">
            <v>13121200</v>
          </cell>
          <cell r="P44">
            <v>13121200</v>
          </cell>
          <cell r="V44">
            <v>13121200</v>
          </cell>
          <cell r="Y44">
            <v>11793300</v>
          </cell>
        </row>
        <row r="47">
          <cell r="K47">
            <v>9500000</v>
          </cell>
          <cell r="P47">
            <v>9500000</v>
          </cell>
          <cell r="V47">
            <v>6692617</v>
          </cell>
          <cell r="Y47">
            <v>6692617</v>
          </cell>
        </row>
        <row r="48">
          <cell r="K48">
            <v>0</v>
          </cell>
          <cell r="P48">
            <v>0</v>
          </cell>
          <cell r="V48">
            <v>0</v>
          </cell>
          <cell r="Y48">
            <v>0</v>
          </cell>
        </row>
        <row r="49">
          <cell r="K49">
            <v>0</v>
          </cell>
          <cell r="P49">
            <v>0</v>
          </cell>
          <cell r="V49">
            <v>0</v>
          </cell>
          <cell r="Y49">
            <v>0</v>
          </cell>
        </row>
        <row r="51">
          <cell r="K51">
            <v>1270000</v>
          </cell>
          <cell r="P51">
            <v>1270000</v>
          </cell>
          <cell r="V51">
            <v>1270000</v>
          </cell>
          <cell r="Y51">
            <v>1270000</v>
          </cell>
        </row>
        <row r="52">
          <cell r="K52">
            <v>33551358</v>
          </cell>
          <cell r="P52">
            <v>33551358</v>
          </cell>
          <cell r="V52">
            <v>21550013</v>
          </cell>
          <cell r="Y52">
            <v>21550013</v>
          </cell>
        </row>
        <row r="53">
          <cell r="K53">
            <v>5500000</v>
          </cell>
          <cell r="P53">
            <v>5500000</v>
          </cell>
          <cell r="V53">
            <v>5102550</v>
          </cell>
          <cell r="Y53">
            <v>4341950</v>
          </cell>
        </row>
        <row r="54">
          <cell r="K54">
            <v>1740182.38</v>
          </cell>
          <cell r="P54">
            <v>1740182.38</v>
          </cell>
          <cell r="V54">
            <v>1740152</v>
          </cell>
          <cell r="Y54">
            <v>1740152</v>
          </cell>
        </row>
        <row r="55">
          <cell r="K55">
            <v>8999607</v>
          </cell>
          <cell r="P55">
            <v>8999607</v>
          </cell>
          <cell r="V55">
            <v>8999607</v>
          </cell>
          <cell r="Y55">
            <v>8999607</v>
          </cell>
        </row>
        <row r="56">
          <cell r="K56">
            <v>0</v>
          </cell>
          <cell r="P56">
            <v>0</v>
          </cell>
          <cell r="V56">
            <v>0</v>
          </cell>
          <cell r="Y56">
            <v>0</v>
          </cell>
        </row>
        <row r="57">
          <cell r="K57">
            <v>1832976</v>
          </cell>
          <cell r="P57">
            <v>1832976</v>
          </cell>
          <cell r="V57">
            <v>1832976</v>
          </cell>
          <cell r="Y57">
            <v>1832976</v>
          </cell>
        </row>
        <row r="58">
          <cell r="K58">
            <v>2325839</v>
          </cell>
          <cell r="P58">
            <v>2325839</v>
          </cell>
          <cell r="V58">
            <v>2325839</v>
          </cell>
          <cell r="Y58">
            <v>2325839</v>
          </cell>
        </row>
        <row r="61">
          <cell r="K61">
            <v>474803</v>
          </cell>
          <cell r="P61">
            <v>474803</v>
          </cell>
          <cell r="V61">
            <v>474803</v>
          </cell>
          <cell r="Y61">
            <v>474803</v>
          </cell>
        </row>
        <row r="62">
          <cell r="K62">
            <v>0</v>
          </cell>
          <cell r="V62">
            <v>0</v>
          </cell>
          <cell r="Y62">
            <v>0</v>
          </cell>
        </row>
        <row r="67">
          <cell r="V67">
            <v>86407970</v>
          </cell>
          <cell r="Y67">
            <v>80534269</v>
          </cell>
        </row>
        <row r="68">
          <cell r="K68">
            <v>268943422</v>
          </cell>
          <cell r="P68">
            <v>268943422</v>
          </cell>
          <cell r="V68">
            <v>248498905</v>
          </cell>
          <cell r="Y68">
            <v>235991618</v>
          </cell>
        </row>
        <row r="70">
          <cell r="K70">
            <v>0</v>
          </cell>
          <cell r="P70">
            <v>0</v>
          </cell>
          <cell r="V70">
            <v>0</v>
          </cell>
          <cell r="Y70">
            <v>0</v>
          </cell>
        </row>
        <row r="71">
          <cell r="K71">
            <v>90260671</v>
          </cell>
          <cell r="P71">
            <v>90260671</v>
          </cell>
          <cell r="V71">
            <v>32876754</v>
          </cell>
          <cell r="Y71">
            <v>32876754</v>
          </cell>
        </row>
        <row r="72">
          <cell r="K72">
            <v>0</v>
          </cell>
          <cell r="P72">
            <v>0</v>
          </cell>
          <cell r="V72">
            <v>0</v>
          </cell>
          <cell r="Y72">
            <v>0</v>
          </cell>
        </row>
        <row r="78">
          <cell r="K78">
            <v>0</v>
          </cell>
          <cell r="P78">
            <v>0</v>
          </cell>
          <cell r="V78">
            <v>0</v>
          </cell>
          <cell r="Y78">
            <v>0</v>
          </cell>
        </row>
        <row r="79">
          <cell r="K79">
            <v>0</v>
          </cell>
          <cell r="P79">
            <v>0</v>
          </cell>
          <cell r="V79">
            <v>0</v>
          </cell>
          <cell r="Y79">
            <v>0</v>
          </cell>
        </row>
        <row r="80">
          <cell r="K80">
            <v>62711497.189999998</v>
          </cell>
          <cell r="P80">
            <v>62711497.189999998</v>
          </cell>
          <cell r="V80">
            <v>62711497</v>
          </cell>
          <cell r="Y80">
            <v>62711497</v>
          </cell>
        </row>
        <row r="81">
          <cell r="K81">
            <v>90166</v>
          </cell>
          <cell r="P81">
            <v>90166</v>
          </cell>
          <cell r="V81">
            <v>90166</v>
          </cell>
          <cell r="Y81">
            <v>90166</v>
          </cell>
        </row>
        <row r="82">
          <cell r="K82">
            <v>223782037.16</v>
          </cell>
          <cell r="P82">
            <v>223782037.16</v>
          </cell>
          <cell r="V82">
            <v>2592105</v>
          </cell>
          <cell r="Y82">
            <v>2592105</v>
          </cell>
        </row>
        <row r="83">
          <cell r="K83">
            <v>67878799.230000004</v>
          </cell>
          <cell r="P83">
            <v>67878799.230000004</v>
          </cell>
          <cell r="V83">
            <v>67878799</v>
          </cell>
          <cell r="Y83">
            <v>67878799.420000002</v>
          </cell>
        </row>
        <row r="84">
          <cell r="K84">
            <v>10075410.23</v>
          </cell>
          <cell r="P84">
            <v>10075410.23</v>
          </cell>
          <cell r="V84">
            <v>10075410.23</v>
          </cell>
          <cell r="Y84">
            <v>10075410.23</v>
          </cell>
        </row>
      </sheetData>
      <sheetData sheetId="42"/>
      <sheetData sheetId="43">
        <row r="6">
          <cell r="C6">
            <v>47763600</v>
          </cell>
        </row>
        <row r="12">
          <cell r="G12">
            <v>3768647</v>
          </cell>
        </row>
        <row r="18">
          <cell r="G18">
            <v>717837</v>
          </cell>
        </row>
        <row r="24">
          <cell r="G24">
            <v>7861290</v>
          </cell>
        </row>
        <row r="30">
          <cell r="G30">
            <v>1236345</v>
          </cell>
        </row>
        <row r="36">
          <cell r="G36">
            <v>5576747</v>
          </cell>
        </row>
        <row r="42">
          <cell r="G42">
            <v>8467652</v>
          </cell>
        </row>
        <row r="67">
          <cell r="G67">
            <v>8576667</v>
          </cell>
        </row>
        <row r="73">
          <cell r="G73">
            <v>969600</v>
          </cell>
        </row>
        <row r="78">
          <cell r="G78">
            <v>664200</v>
          </cell>
        </row>
        <row r="83">
          <cell r="G83">
            <v>995800</v>
          </cell>
        </row>
        <row r="89">
          <cell r="G89">
            <v>1151300</v>
          </cell>
        </row>
        <row r="93">
          <cell r="G93">
            <v>3009500</v>
          </cell>
        </row>
        <row r="102">
          <cell r="G102">
            <v>2919900</v>
          </cell>
        </row>
        <row r="107">
          <cell r="G107">
            <v>177600</v>
          </cell>
        </row>
        <row r="111">
          <cell r="G111">
            <v>1327800</v>
          </cell>
        </row>
        <row r="116">
          <cell r="G116">
            <v>0</v>
          </cell>
        </row>
        <row r="122">
          <cell r="G122">
            <v>0</v>
          </cell>
        </row>
        <row r="128">
          <cell r="G128">
            <v>0</v>
          </cell>
        </row>
        <row r="133">
          <cell r="G133">
            <v>0</v>
          </cell>
        </row>
        <row r="139">
          <cell r="G139">
            <v>0</v>
          </cell>
        </row>
        <row r="145">
          <cell r="G145">
            <v>1500000</v>
          </cell>
        </row>
        <row r="151">
          <cell r="G151">
            <v>246421</v>
          </cell>
        </row>
        <row r="162">
          <cell r="G162">
            <v>0</v>
          </cell>
        </row>
        <row r="167">
          <cell r="G167">
            <v>0</v>
          </cell>
        </row>
        <row r="172">
          <cell r="G172">
            <v>260772</v>
          </cell>
        </row>
        <row r="182">
          <cell r="G182">
            <v>0</v>
          </cell>
        </row>
        <row r="187">
          <cell r="G187">
            <v>0</v>
          </cell>
        </row>
        <row r="196">
          <cell r="G196">
            <v>2381964</v>
          </cell>
        </row>
        <row r="212">
          <cell r="G212">
            <v>6825157</v>
          </cell>
        </row>
        <row r="218">
          <cell r="G218">
            <v>0</v>
          </cell>
        </row>
        <row r="246">
          <cell r="G246">
            <v>9104492</v>
          </cell>
        </row>
      </sheetData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DE PERSONAL SIN RENTA"/>
      <sheetName val="2018"/>
      <sheetName val="CON RENTA"/>
      <sheetName val="CALCULO CUOTA AUDITAJE"/>
      <sheetName val="INVERSION"/>
      <sheetName val="HONORARIOSYREMUNERACION"/>
      <sheetName val="Hoja1"/>
      <sheetName val="Hoja2"/>
      <sheetName val="Hoja3"/>
      <sheetName val="Hoja5"/>
    </sheetNames>
    <sheetDataSet>
      <sheetData sheetId="0"/>
      <sheetData sheetId="1">
        <row r="27">
          <cell r="I27">
            <v>8920896</v>
          </cell>
          <cell r="J27">
            <v>4687452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03"/>
  <sheetViews>
    <sheetView tabSelected="1" topLeftCell="P1" zoomScale="80" zoomScaleNormal="80" workbookViewId="0">
      <selection activeCell="AA9" sqref="AA9"/>
    </sheetView>
  </sheetViews>
  <sheetFormatPr baseColWidth="10" defaultRowHeight="33.75" customHeight="1" x14ac:dyDescent="0.2"/>
  <cols>
    <col min="1" max="1" width="19.7109375" style="1" customWidth="1"/>
    <col min="2" max="2" width="62.7109375" style="1" customWidth="1"/>
    <col min="3" max="3" width="23.85546875" style="1" customWidth="1"/>
    <col min="4" max="4" width="20.7109375" style="132" bestFit="1" customWidth="1"/>
    <col min="5" max="5" width="22.42578125" style="132" customWidth="1"/>
    <col min="6" max="6" width="25.42578125" style="1" customWidth="1"/>
    <col min="7" max="7" width="18.28515625" style="1" customWidth="1"/>
    <col min="8" max="8" width="23.42578125" style="1" customWidth="1"/>
    <col min="9" max="9" width="21.140625" style="1" customWidth="1"/>
    <col min="10" max="10" width="21.5703125" style="1" customWidth="1"/>
    <col min="11" max="11" width="21" style="1" customWidth="1"/>
    <col min="12" max="12" width="16.28515625" style="133" customWidth="1"/>
    <col min="13" max="13" width="25" style="1" customWidth="1"/>
    <col min="14" max="14" width="18.7109375" style="1" customWidth="1"/>
    <col min="15" max="15" width="14.5703125" style="1" customWidth="1"/>
    <col min="16" max="16" width="20.28515625" style="1" customWidth="1"/>
    <col min="17" max="17" width="16" style="133" customWidth="1"/>
    <col min="18" max="18" width="21" style="1" customWidth="1"/>
    <col min="19" max="19" width="24" style="133" customWidth="1"/>
    <col min="20" max="20" width="21.85546875" style="1" customWidth="1"/>
    <col min="21" max="21" width="22.7109375" style="1" customWidth="1"/>
    <col min="22" max="22" width="19.7109375" style="1" customWidth="1"/>
    <col min="23" max="23" width="12.42578125" style="134" customWidth="1"/>
    <col min="24" max="24" width="19.140625" style="1" customWidth="1"/>
    <col min="25" max="25" width="21.42578125" style="1" customWidth="1"/>
    <col min="26" max="26" width="12.42578125" style="134" customWidth="1"/>
    <col min="27" max="27" width="20.42578125" style="1" customWidth="1"/>
    <col min="28" max="28" width="17.5703125" style="1" bestFit="1" customWidth="1"/>
    <col min="29" max="29" width="33.7109375" style="1" customWidth="1"/>
    <col min="30" max="30" width="17.5703125" style="1" customWidth="1"/>
    <col min="31" max="31" width="16.85546875" style="1" customWidth="1"/>
    <col min="32" max="32" width="15.28515625" style="1" customWidth="1"/>
    <col min="33" max="33" width="18.85546875" style="1" customWidth="1"/>
    <col min="34" max="16384" width="11.42578125" style="1"/>
  </cols>
  <sheetData>
    <row r="1" spans="1:34" ht="33.75" customHeight="1" x14ac:dyDescent="0.2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</row>
    <row r="2" spans="1:34" ht="33.75" customHeight="1" x14ac:dyDescent="0.2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7"/>
    </row>
    <row r="3" spans="1:34" ht="19.5" customHeight="1" x14ac:dyDescent="0.2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</row>
    <row r="4" spans="1:34" ht="33.75" customHeight="1" x14ac:dyDescent="0.2">
      <c r="A4" s="155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7"/>
    </row>
    <row r="5" spans="1:34" ht="33.75" customHeight="1" thickBot="1" x14ac:dyDescent="0.25">
      <c r="A5" s="2"/>
      <c r="B5" s="3"/>
      <c r="C5" s="4"/>
      <c r="D5" s="5"/>
      <c r="E5" s="6"/>
      <c r="F5" s="7"/>
      <c r="G5" s="3"/>
      <c r="H5" s="3"/>
      <c r="I5" s="3"/>
      <c r="J5" s="3"/>
      <c r="K5" s="8"/>
      <c r="L5" s="3"/>
      <c r="M5" s="4"/>
      <c r="N5" s="3"/>
      <c r="O5" s="3"/>
      <c r="P5" s="9"/>
      <c r="Q5" s="3"/>
      <c r="R5" s="3"/>
      <c r="S5" s="7"/>
      <c r="T5" s="3"/>
      <c r="U5" s="3"/>
      <c r="V5" s="3"/>
      <c r="W5" s="3"/>
      <c r="X5" s="10"/>
      <c r="Y5" s="11"/>
      <c r="Z5" s="3"/>
      <c r="AA5" s="12"/>
    </row>
    <row r="6" spans="1:34" ht="19.899999999999999" customHeight="1" x14ac:dyDescent="0.2">
      <c r="A6" s="158" t="s">
        <v>3</v>
      </c>
      <c r="B6" s="142" t="s">
        <v>4</v>
      </c>
      <c r="C6" s="142" t="s">
        <v>5</v>
      </c>
      <c r="D6" s="142" t="s">
        <v>6</v>
      </c>
      <c r="E6" s="142"/>
      <c r="F6" s="142"/>
      <c r="G6" s="142"/>
      <c r="H6" s="142" t="s">
        <v>7</v>
      </c>
      <c r="I6" s="142" t="s">
        <v>8</v>
      </c>
      <c r="J6" s="142" t="s">
        <v>9</v>
      </c>
      <c r="K6" s="142" t="s">
        <v>10</v>
      </c>
      <c r="L6" s="149" t="s">
        <v>11</v>
      </c>
      <c r="M6" s="142" t="s">
        <v>12</v>
      </c>
      <c r="N6" s="142" t="s">
        <v>13</v>
      </c>
      <c r="O6" s="142" t="s">
        <v>14</v>
      </c>
      <c r="P6" s="142" t="s">
        <v>15</v>
      </c>
      <c r="Q6" s="149" t="s">
        <v>16</v>
      </c>
      <c r="R6" s="142" t="s">
        <v>17</v>
      </c>
      <c r="S6" s="149" t="s">
        <v>18</v>
      </c>
      <c r="T6" s="142" t="s">
        <v>19</v>
      </c>
      <c r="U6" s="142" t="s">
        <v>20</v>
      </c>
      <c r="V6" s="142" t="s">
        <v>21</v>
      </c>
      <c r="W6" s="143" t="s">
        <v>22</v>
      </c>
      <c r="X6" s="142" t="s">
        <v>23</v>
      </c>
      <c r="Y6" s="142" t="s">
        <v>24</v>
      </c>
      <c r="Z6" s="143" t="s">
        <v>25</v>
      </c>
      <c r="AA6" s="146" t="s">
        <v>26</v>
      </c>
      <c r="AB6" s="1" t="s">
        <v>27</v>
      </c>
    </row>
    <row r="7" spans="1:34" ht="19.899999999999999" customHeight="1" x14ac:dyDescent="0.2">
      <c r="A7" s="159"/>
      <c r="B7" s="137"/>
      <c r="C7" s="137"/>
      <c r="D7" s="137" t="s">
        <v>28</v>
      </c>
      <c r="E7" s="137"/>
      <c r="F7" s="137" t="s">
        <v>29</v>
      </c>
      <c r="G7" s="137" t="s">
        <v>30</v>
      </c>
      <c r="H7" s="137"/>
      <c r="I7" s="137"/>
      <c r="J7" s="137"/>
      <c r="K7" s="137"/>
      <c r="L7" s="150"/>
      <c r="M7" s="137"/>
      <c r="N7" s="137"/>
      <c r="O7" s="137"/>
      <c r="P7" s="137"/>
      <c r="Q7" s="150"/>
      <c r="R7" s="137"/>
      <c r="S7" s="150"/>
      <c r="T7" s="137"/>
      <c r="U7" s="137"/>
      <c r="V7" s="137"/>
      <c r="W7" s="144"/>
      <c r="X7" s="137"/>
      <c r="Y7" s="137"/>
      <c r="Z7" s="144"/>
      <c r="AA7" s="147"/>
      <c r="AB7" s="139"/>
      <c r="AC7" s="140"/>
      <c r="AD7" s="140"/>
      <c r="AE7" s="141"/>
      <c r="AF7" s="141"/>
      <c r="AG7" s="141"/>
    </row>
    <row r="8" spans="1:34" ht="19.899999999999999" customHeight="1" thickBot="1" x14ac:dyDescent="0.3">
      <c r="A8" s="160"/>
      <c r="B8" s="138"/>
      <c r="C8" s="138"/>
      <c r="D8" s="13" t="s">
        <v>31</v>
      </c>
      <c r="E8" s="14" t="s">
        <v>32</v>
      </c>
      <c r="F8" s="138"/>
      <c r="G8" s="138"/>
      <c r="H8" s="138"/>
      <c r="I8" s="138"/>
      <c r="J8" s="138"/>
      <c r="K8" s="138"/>
      <c r="L8" s="151"/>
      <c r="M8" s="138"/>
      <c r="N8" s="138"/>
      <c r="O8" s="138"/>
      <c r="P8" s="138"/>
      <c r="Q8" s="151"/>
      <c r="R8" s="138"/>
      <c r="S8" s="151"/>
      <c r="T8" s="138"/>
      <c r="U8" s="138"/>
      <c r="V8" s="138"/>
      <c r="W8" s="145"/>
      <c r="X8" s="138"/>
      <c r="Y8" s="138"/>
      <c r="Z8" s="145"/>
      <c r="AA8" s="148"/>
      <c r="AB8" s="15"/>
      <c r="AC8" s="15"/>
      <c r="AD8" s="16"/>
      <c r="AE8" s="15"/>
      <c r="AF8" s="15"/>
      <c r="AG8" s="15"/>
      <c r="AH8" s="15"/>
    </row>
    <row r="9" spans="1:34" ht="19.899999999999999" customHeight="1" x14ac:dyDescent="0.25">
      <c r="A9" s="17" t="s">
        <v>33</v>
      </c>
      <c r="B9" s="18"/>
      <c r="C9" s="19">
        <f t="shared" ref="C9:J9" si="0">+C10+C73</f>
        <v>3702192190</v>
      </c>
      <c r="D9" s="20">
        <f t="shared" si="0"/>
        <v>419400484</v>
      </c>
      <c r="E9" s="20">
        <f t="shared" si="0"/>
        <v>419400484</v>
      </c>
      <c r="F9" s="21">
        <f t="shared" si="0"/>
        <v>345503448</v>
      </c>
      <c r="G9" s="21">
        <f t="shared" si="0"/>
        <v>0</v>
      </c>
      <c r="H9" s="21">
        <f>+H10+H73</f>
        <v>4047695638</v>
      </c>
      <c r="I9" s="21">
        <f t="shared" si="0"/>
        <v>115653685</v>
      </c>
      <c r="J9" s="21">
        <f t="shared" si="0"/>
        <v>5750847</v>
      </c>
      <c r="K9" s="21">
        <f>+K10+K73</f>
        <v>1706856632.1900001</v>
      </c>
      <c r="L9" s="22">
        <f t="shared" ref="L9:L24" si="1">+K9/H9</f>
        <v>0.42168601220060409</v>
      </c>
      <c r="M9" s="21">
        <f>+M10+M73</f>
        <v>2340839006.1500001</v>
      </c>
      <c r="N9" s="21">
        <f>+N10+N73</f>
        <v>115653685</v>
      </c>
      <c r="O9" s="21">
        <f>+O10+O73</f>
        <v>5750847</v>
      </c>
      <c r="P9" s="21">
        <f>+P10+P73</f>
        <v>1706856632.1900001</v>
      </c>
      <c r="Q9" s="22">
        <f>+P9/H9</f>
        <v>0.42168601220060409</v>
      </c>
      <c r="R9" s="21">
        <f>+R10+R73</f>
        <v>2340839005.8099999</v>
      </c>
      <c r="S9" s="22">
        <f>+R9/H9</f>
        <v>0.57831398779939591</v>
      </c>
      <c r="T9" s="21">
        <f>+T10+T73</f>
        <v>1197890435.23</v>
      </c>
      <c r="U9" s="21">
        <f>+U10+U73</f>
        <v>306072607</v>
      </c>
      <c r="V9" s="21">
        <f>+V10+V73</f>
        <v>1503963042.23</v>
      </c>
      <c r="W9" s="23">
        <f>+V9/H9</f>
        <v>0.37156030905849446</v>
      </c>
      <c r="X9" s="21">
        <f>+X10+X73</f>
        <v>96113668</v>
      </c>
      <c r="Y9" s="21">
        <f>+Y10+Y73</f>
        <v>1247695726.6500001</v>
      </c>
      <c r="Z9" s="23">
        <f>+Y9/H9</f>
        <v>0.30824840557095268</v>
      </c>
      <c r="AA9" s="24">
        <f>+AA10+AA73</f>
        <v>459160905.73000002</v>
      </c>
      <c r="AB9" s="15"/>
      <c r="AC9" s="15"/>
      <c r="AD9" s="16"/>
      <c r="AE9" s="15"/>
      <c r="AF9" s="15"/>
      <c r="AG9" s="15"/>
      <c r="AH9" s="15"/>
    </row>
    <row r="10" spans="1:34" ht="19.899999999999999" customHeight="1" x14ac:dyDescent="0.25">
      <c r="A10" s="25" t="s">
        <v>34</v>
      </c>
      <c r="B10" s="26" t="s">
        <v>35</v>
      </c>
      <c r="C10" s="27">
        <f t="shared" ref="C10:H10" si="2">+C11+C63</f>
        <v>3702192190</v>
      </c>
      <c r="D10" s="28">
        <f t="shared" si="2"/>
        <v>25650361</v>
      </c>
      <c r="E10" s="28">
        <f t="shared" si="2"/>
        <v>419400484</v>
      </c>
      <c r="F10" s="27">
        <f t="shared" si="2"/>
        <v>189181153</v>
      </c>
      <c r="G10" s="29">
        <f t="shared" si="2"/>
        <v>0</v>
      </c>
      <c r="H10" s="30">
        <f t="shared" si="2"/>
        <v>3497623220</v>
      </c>
      <c r="I10" s="30">
        <f>+I11+I63</f>
        <v>115653685</v>
      </c>
      <c r="J10" s="30">
        <f t="shared" ref="J10:X10" si="3">+J11+J63</f>
        <v>5750847</v>
      </c>
      <c r="K10" s="30">
        <f>+K11+K63</f>
        <v>1342318722.3800001</v>
      </c>
      <c r="L10" s="23">
        <f t="shared" si="1"/>
        <v>0.38378025245955455</v>
      </c>
      <c r="M10" s="30">
        <f t="shared" si="3"/>
        <v>2155304497.73</v>
      </c>
      <c r="N10" s="30">
        <f t="shared" si="3"/>
        <v>115653685</v>
      </c>
      <c r="O10" s="30">
        <f t="shared" si="3"/>
        <v>5750847</v>
      </c>
      <c r="P10" s="30">
        <f>+P11+P63</f>
        <v>1342318722.3800001</v>
      </c>
      <c r="Q10" s="23">
        <f t="shared" ref="Q10:Q71" si="4">+P10/H10</f>
        <v>0.38378025245955455</v>
      </c>
      <c r="R10" s="30">
        <f t="shared" si="3"/>
        <v>2155304497.6199999</v>
      </c>
      <c r="S10" s="23">
        <f t="shared" ref="S10:S62" si="5">+R10/H10</f>
        <v>0.6162197475404454</v>
      </c>
      <c r="T10" s="30">
        <f t="shared" si="3"/>
        <v>1054542458</v>
      </c>
      <c r="U10" s="30">
        <f t="shared" si="3"/>
        <v>132375037</v>
      </c>
      <c r="V10" s="30">
        <f>+V11+V63</f>
        <v>1186917495</v>
      </c>
      <c r="W10" s="23">
        <f>+V10/H10</f>
        <v>0.33934972990029499</v>
      </c>
      <c r="X10" s="30">
        <f t="shared" si="3"/>
        <v>96113668</v>
      </c>
      <c r="Y10" s="30">
        <f>+Y11+Y63</f>
        <v>1104347749</v>
      </c>
      <c r="Z10" s="23">
        <f t="shared" ref="Z10:Z67" si="6">+Y10/H10</f>
        <v>0.3157423425957242</v>
      </c>
      <c r="AA10" s="31">
        <f>+AA11+AA63</f>
        <v>237970973.38</v>
      </c>
      <c r="AB10" s="15"/>
      <c r="AC10" s="15"/>
      <c r="AD10" s="16"/>
      <c r="AE10" s="15"/>
      <c r="AF10" s="15"/>
      <c r="AG10" s="15"/>
      <c r="AH10" s="15"/>
    </row>
    <row r="11" spans="1:34" ht="19.899999999999999" customHeight="1" x14ac:dyDescent="0.25">
      <c r="A11" s="25" t="s">
        <v>36</v>
      </c>
      <c r="B11" s="26" t="s">
        <v>37</v>
      </c>
      <c r="C11" s="27">
        <f>+C12+C45+C59</f>
        <v>1296102190</v>
      </c>
      <c r="D11" s="28">
        <f>+D12+D45+D59</f>
        <v>15725771</v>
      </c>
      <c r="E11" s="28">
        <f>+E12+E45+E59</f>
        <v>15725771</v>
      </c>
      <c r="F11" s="27">
        <f>+F12+F45+F59</f>
        <v>0</v>
      </c>
      <c r="G11" s="29">
        <f>+G12+G45+G59</f>
        <v>0</v>
      </c>
      <c r="H11" s="30">
        <f t="shared" ref="H11:AA11" si="7">+H12+H45+H59</f>
        <v>1296102190</v>
      </c>
      <c r="I11" s="30">
        <f t="shared" si="7"/>
        <v>97342072</v>
      </c>
      <c r="J11" s="30">
        <f t="shared" si="7"/>
        <v>5750847</v>
      </c>
      <c r="K11" s="30">
        <f t="shared" si="7"/>
        <v>856094832.38</v>
      </c>
      <c r="L11" s="23">
        <f t="shared" si="1"/>
        <v>0.66051491848802446</v>
      </c>
      <c r="M11" s="30">
        <f t="shared" si="7"/>
        <v>440007357.73000002</v>
      </c>
      <c r="N11" s="30">
        <f t="shared" si="7"/>
        <v>97342072</v>
      </c>
      <c r="O11" s="30">
        <f t="shared" si="7"/>
        <v>5750847</v>
      </c>
      <c r="P11" s="30">
        <f>+P12+P45+P59</f>
        <v>856094832.38</v>
      </c>
      <c r="Q11" s="23">
        <f t="shared" si="4"/>
        <v>0.66051491848802446</v>
      </c>
      <c r="R11" s="30">
        <f t="shared" si="7"/>
        <v>440007357.62</v>
      </c>
      <c r="S11" s="23">
        <f t="shared" si="5"/>
        <v>0.33948508151197554</v>
      </c>
      <c r="T11" s="30">
        <f t="shared" si="7"/>
        <v>686758829</v>
      </c>
      <c r="U11" s="30">
        <f t="shared" si="7"/>
        <v>95058624</v>
      </c>
      <c r="V11" s="30">
        <f>+V12+V45+V59</f>
        <v>781817453</v>
      </c>
      <c r="W11" s="23">
        <f>+V11/H11</f>
        <v>0.6032066445316322</v>
      </c>
      <c r="X11" s="30">
        <f t="shared" si="7"/>
        <v>56784315</v>
      </c>
      <c r="Y11" s="30">
        <f t="shared" si="7"/>
        <v>715615755</v>
      </c>
      <c r="Z11" s="23">
        <f t="shared" si="6"/>
        <v>0.55212911491184191</v>
      </c>
      <c r="AA11" s="31">
        <f t="shared" si="7"/>
        <v>140479077.38</v>
      </c>
      <c r="AB11" s="15"/>
      <c r="AC11" s="15"/>
      <c r="AD11" s="16"/>
      <c r="AE11" s="15"/>
      <c r="AF11" s="15"/>
      <c r="AG11" s="15"/>
      <c r="AH11" s="15"/>
    </row>
    <row r="12" spans="1:34" ht="19.899999999999999" customHeight="1" x14ac:dyDescent="0.25">
      <c r="A12" s="25" t="s">
        <v>38</v>
      </c>
      <c r="B12" s="26" t="s">
        <v>39</v>
      </c>
      <c r="C12" s="27">
        <f>+C13+C22+C25</f>
        <v>1037310254.61</v>
      </c>
      <c r="D12" s="28">
        <f>+D13+D22+D25</f>
        <v>15725771</v>
      </c>
      <c r="E12" s="28">
        <f>+E13+E22+E25</f>
        <v>15725771</v>
      </c>
      <c r="F12" s="27">
        <f>+F13+F22+F25</f>
        <v>0</v>
      </c>
      <c r="G12" s="29">
        <f>+G13+G22+G25</f>
        <v>0</v>
      </c>
      <c r="H12" s="30">
        <f t="shared" ref="H12:AA12" si="8">+H13+H22+H25</f>
        <v>1037310254.61</v>
      </c>
      <c r="I12" s="30">
        <f>+I13+I22+I25</f>
        <v>95184485</v>
      </c>
      <c r="J12" s="30">
        <f t="shared" si="8"/>
        <v>5750847</v>
      </c>
      <c r="K12" s="30">
        <f t="shared" si="8"/>
        <v>788742480</v>
      </c>
      <c r="L12" s="23">
        <f t="shared" si="1"/>
        <v>0.7603727780523537</v>
      </c>
      <c r="M12" s="30">
        <f t="shared" si="8"/>
        <v>248567774.72</v>
      </c>
      <c r="N12" s="30">
        <f t="shared" si="8"/>
        <v>95184485</v>
      </c>
      <c r="O12" s="30">
        <f t="shared" si="8"/>
        <v>5750847</v>
      </c>
      <c r="P12" s="30">
        <f>+P13+P22+P25</f>
        <v>788742480</v>
      </c>
      <c r="Q12" s="23">
        <f>+P12/H12</f>
        <v>0.7603727780523537</v>
      </c>
      <c r="R12" s="30">
        <f t="shared" si="8"/>
        <v>248567774.61000001</v>
      </c>
      <c r="S12" s="23">
        <f t="shared" si="5"/>
        <v>0.23962722194764635</v>
      </c>
      <c r="T12" s="30">
        <f t="shared" si="8"/>
        <v>636770272</v>
      </c>
      <c r="U12" s="30">
        <f t="shared" si="8"/>
        <v>92685470</v>
      </c>
      <c r="V12" s="30">
        <f>+V13+V22+V25</f>
        <v>729455742</v>
      </c>
      <c r="W12" s="23">
        <f t="shared" ref="W12:W71" si="9">+V12/H12</f>
        <v>0.70321848141205856</v>
      </c>
      <c r="X12" s="30">
        <f t="shared" si="8"/>
        <v>56126728</v>
      </c>
      <c r="Y12" s="30">
        <f t="shared" si="8"/>
        <v>665730211</v>
      </c>
      <c r="Z12" s="23">
        <f t="shared" si="6"/>
        <v>0.64178504747385934</v>
      </c>
      <c r="AA12" s="31">
        <f t="shared" si="8"/>
        <v>123012269</v>
      </c>
      <c r="AB12" s="15">
        <f>+AB16-AB13</f>
        <v>-12170274</v>
      </c>
      <c r="AC12" s="15" t="s">
        <v>40</v>
      </c>
      <c r="AD12" s="16"/>
      <c r="AE12" s="15"/>
      <c r="AF12" s="15">
        <f>4515600/30</f>
        <v>150520</v>
      </c>
      <c r="AG12" s="15" t="s">
        <v>41</v>
      </c>
      <c r="AH12" s="15"/>
    </row>
    <row r="13" spans="1:34" ht="19.899999999999999" customHeight="1" x14ac:dyDescent="0.25">
      <c r="A13" s="25" t="s">
        <v>42</v>
      </c>
      <c r="B13" s="26" t="s">
        <v>43</v>
      </c>
      <c r="C13" s="27">
        <f>+C14+C16+C17+C18+C19+C20+C21</f>
        <v>526004200</v>
      </c>
      <c r="D13" s="28">
        <f t="shared" ref="D13:Y13" si="10">+D14+D16+D17+D18+D19+D20+D21</f>
        <v>7557965</v>
      </c>
      <c r="E13" s="28">
        <f t="shared" si="10"/>
        <v>15725771</v>
      </c>
      <c r="F13" s="27">
        <f t="shared" si="10"/>
        <v>0</v>
      </c>
      <c r="G13" s="27">
        <f t="shared" si="10"/>
        <v>0</v>
      </c>
      <c r="H13" s="27">
        <f t="shared" si="10"/>
        <v>517836394</v>
      </c>
      <c r="I13" s="27">
        <f>+I14+I16+I17+I18+I19+I20+I21</f>
        <v>75392118</v>
      </c>
      <c r="J13" s="27">
        <f t="shared" si="10"/>
        <v>903120</v>
      </c>
      <c r="K13" s="27">
        <f>+K14+K16+K17+K18+K19+K20+K21</f>
        <v>486513807</v>
      </c>
      <c r="L13" s="23">
        <f t="shared" si="1"/>
        <v>0.9395125808789716</v>
      </c>
      <c r="M13" s="27">
        <f t="shared" si="10"/>
        <v>31322587</v>
      </c>
      <c r="N13" s="27">
        <f>+N14+N16+N17+N18+N19+N20+N21</f>
        <v>75392118</v>
      </c>
      <c r="O13" s="27">
        <f t="shared" si="10"/>
        <v>903120</v>
      </c>
      <c r="P13" s="27">
        <f>+P14+P16+P17+P18+P19+P20+P21</f>
        <v>486513807</v>
      </c>
      <c r="Q13" s="23">
        <f>+P13/H13</f>
        <v>0.9395125808789716</v>
      </c>
      <c r="R13" s="27">
        <f t="shared" si="10"/>
        <v>31322587</v>
      </c>
      <c r="S13" s="23">
        <f t="shared" si="5"/>
        <v>6.048741912102841E-2</v>
      </c>
      <c r="T13" s="27">
        <f t="shared" si="10"/>
        <v>391861445</v>
      </c>
      <c r="U13" s="27">
        <f>+U14+U16+U17+U18+U19+U20+U21</f>
        <v>60688880</v>
      </c>
      <c r="V13" s="27">
        <f>+V14+V16+V17+V18+V19+V20+V21</f>
        <v>452550325</v>
      </c>
      <c r="W13" s="23">
        <f t="shared" si="9"/>
        <v>0.87392529811259267</v>
      </c>
      <c r="X13" s="27">
        <f t="shared" si="10"/>
        <v>33060362</v>
      </c>
      <c r="Y13" s="27">
        <f t="shared" si="10"/>
        <v>411174247</v>
      </c>
      <c r="Z13" s="23">
        <f t="shared" si="6"/>
        <v>0.79402346332575457</v>
      </c>
      <c r="AA13" s="32">
        <f>+AA14+AA16+AA17+AA18+AA19+AA20+AA21</f>
        <v>75339560</v>
      </c>
      <c r="AB13" s="15">
        <f>+AE14+AF13+AF12</f>
        <v>17672388</v>
      </c>
      <c r="AC13" s="15"/>
      <c r="AD13" s="16"/>
      <c r="AE13" s="15"/>
      <c r="AF13" s="15">
        <v>3913520</v>
      </c>
      <c r="AG13" s="15" t="s">
        <v>44</v>
      </c>
      <c r="AH13" s="15"/>
    </row>
    <row r="14" spans="1:34" ht="19.899999999999999" customHeight="1" thickBot="1" x14ac:dyDescent="0.3">
      <c r="A14" s="25" t="s">
        <v>45</v>
      </c>
      <c r="B14" s="26" t="s">
        <v>46</v>
      </c>
      <c r="C14" s="33">
        <f t="shared" ref="C14:H14" si="11">+C15</f>
        <v>416482680</v>
      </c>
      <c r="D14" s="28">
        <f t="shared" si="11"/>
        <v>0</v>
      </c>
      <c r="E14" s="28">
        <f t="shared" si="11"/>
        <v>13073394</v>
      </c>
      <c r="F14" s="27">
        <f t="shared" si="11"/>
        <v>0</v>
      </c>
      <c r="G14" s="29">
        <f t="shared" si="11"/>
        <v>0</v>
      </c>
      <c r="H14" s="30">
        <f t="shared" si="11"/>
        <v>403409286</v>
      </c>
      <c r="I14" s="30">
        <f>+I15</f>
        <v>47763600</v>
      </c>
      <c r="J14" s="30">
        <f t="shared" ref="J14:Y14" si="12">+J15</f>
        <v>903120</v>
      </c>
      <c r="K14" s="30">
        <f>+K15</f>
        <v>397907172</v>
      </c>
      <c r="L14" s="23">
        <f t="shared" si="1"/>
        <v>0.98636096344098534</v>
      </c>
      <c r="M14" s="30">
        <f t="shared" si="12"/>
        <v>5502114</v>
      </c>
      <c r="N14" s="30">
        <f>+N15</f>
        <v>47763600</v>
      </c>
      <c r="O14" s="30">
        <f t="shared" si="12"/>
        <v>903120</v>
      </c>
      <c r="P14" s="30">
        <f t="shared" si="12"/>
        <v>397907172</v>
      </c>
      <c r="Q14" s="23">
        <f t="shared" si="4"/>
        <v>0.98636096344098534</v>
      </c>
      <c r="R14" s="30">
        <f t="shared" si="12"/>
        <v>5502114</v>
      </c>
      <c r="S14" s="23">
        <f t="shared" si="5"/>
        <v>1.3639036559014658E-2</v>
      </c>
      <c r="T14" s="30">
        <f t="shared" si="12"/>
        <v>330883328</v>
      </c>
      <c r="U14" s="30">
        <f>+U15</f>
        <v>33060362</v>
      </c>
      <c r="V14" s="30">
        <f>+V15</f>
        <v>363943690</v>
      </c>
      <c r="W14" s="23">
        <f>+V14/H14</f>
        <v>0.90216983750840085</v>
      </c>
      <c r="X14" s="30">
        <f t="shared" si="12"/>
        <v>33060362</v>
      </c>
      <c r="Y14" s="30">
        <f t="shared" si="12"/>
        <v>363943690</v>
      </c>
      <c r="Z14" s="23">
        <f>+Y14/H14</f>
        <v>0.90216983750840085</v>
      </c>
      <c r="AA14" s="31">
        <f>+AA15</f>
        <v>33963482</v>
      </c>
      <c r="AC14" s="15" t="s">
        <v>47</v>
      </c>
      <c r="AD14" s="16" t="s">
        <v>48</v>
      </c>
      <c r="AE14" s="15">
        <f>+'[2]2018'!$I$27+'[2]2018'!$J$27</f>
        <v>13608348</v>
      </c>
      <c r="AF14" s="15">
        <f>+AB16-AE14</f>
        <v>-8106234</v>
      </c>
      <c r="AG14" s="15" t="s">
        <v>49</v>
      </c>
      <c r="AH14" s="15"/>
    </row>
    <row r="15" spans="1:34" s="44" customFormat="1" ht="19.899999999999999" customHeight="1" x14ac:dyDescent="0.2">
      <c r="A15" s="34" t="s">
        <v>50</v>
      </c>
      <c r="B15" s="35" t="s">
        <v>51</v>
      </c>
      <c r="C15" s="36">
        <v>416482680</v>
      </c>
      <c r="D15" s="37">
        <v>0</v>
      </c>
      <c r="E15" s="37">
        <v>13073394</v>
      </c>
      <c r="F15" s="38">
        <v>0</v>
      </c>
      <c r="G15" s="39">
        <v>0</v>
      </c>
      <c r="H15" s="38">
        <f>+C15+D15-E15+F15-G15</f>
        <v>403409286</v>
      </c>
      <c r="I15" s="38">
        <f>+'[1]CDP-RPNOV'!C6</f>
        <v>47763600</v>
      </c>
      <c r="J15" s="38">
        <v>903120</v>
      </c>
      <c r="K15" s="38">
        <f>+I15-J15+'[1]OCTUBRE f,'!K15</f>
        <v>397907172</v>
      </c>
      <c r="L15" s="40">
        <f t="shared" si="1"/>
        <v>0.98636096344098534</v>
      </c>
      <c r="M15" s="38">
        <f t="shared" ref="M15:M21" si="13">+H15-K15</f>
        <v>5502114</v>
      </c>
      <c r="N15" s="38">
        <f>I15</f>
        <v>47763600</v>
      </c>
      <c r="O15" s="38">
        <v>903120</v>
      </c>
      <c r="P15" s="38">
        <f>+N15-O15+'[1]OCTUBRE f,'!P15</f>
        <v>397907172</v>
      </c>
      <c r="Q15" s="40">
        <f t="shared" si="4"/>
        <v>0.98636096344098534</v>
      </c>
      <c r="R15" s="38">
        <f>+H15-P15</f>
        <v>5502114</v>
      </c>
      <c r="S15" s="40">
        <f t="shared" si="5"/>
        <v>1.3639036559014658E-2</v>
      </c>
      <c r="T15" s="38">
        <f>'[1]OCTUBRE f,'!V15</f>
        <v>330883328</v>
      </c>
      <c r="U15" s="41">
        <v>33060362</v>
      </c>
      <c r="V15" s="41">
        <f t="shared" ref="V15:V21" si="14">+T15+U15</f>
        <v>363943690</v>
      </c>
      <c r="W15" s="42">
        <f>+V15/H15</f>
        <v>0.90216983750840085</v>
      </c>
      <c r="X15" s="41">
        <f>U15</f>
        <v>33060362</v>
      </c>
      <c r="Y15" s="38">
        <f>+X15+'[1]OCTUBRE f,'!Y15</f>
        <v>363943690</v>
      </c>
      <c r="Z15" s="40">
        <f>+Y15/H15</f>
        <v>0.90216983750840085</v>
      </c>
      <c r="AA15" s="43">
        <f>+P15-Y15</f>
        <v>33963482</v>
      </c>
      <c r="AB15" s="15">
        <f>+N15/2</f>
        <v>23881800</v>
      </c>
      <c r="AC15" s="15">
        <v>903120</v>
      </c>
      <c r="AD15" s="16" t="s">
        <v>52</v>
      </c>
      <c r="AE15" s="15"/>
      <c r="AF15" s="15"/>
      <c r="AG15" s="15"/>
      <c r="AH15" s="15"/>
    </row>
    <row r="16" spans="1:34" s="44" customFormat="1" ht="19.899999999999999" customHeight="1" x14ac:dyDescent="0.2">
      <c r="A16" s="45" t="s">
        <v>53</v>
      </c>
      <c r="B16" s="46" t="s">
        <v>54</v>
      </c>
      <c r="C16" s="41">
        <v>10828377</v>
      </c>
      <c r="D16" s="37">
        <v>1761541</v>
      </c>
      <c r="E16" s="37">
        <v>0</v>
      </c>
      <c r="F16" s="38">
        <v>0</v>
      </c>
      <c r="G16" s="39">
        <v>0</v>
      </c>
      <c r="H16" s="38">
        <f t="shared" ref="H16:H24" si="15">+C16+D16-E16+F16-G16</f>
        <v>12589918</v>
      </c>
      <c r="I16" s="38">
        <f>'[1]CDP-RPNOV'!G12</f>
        <v>3768647</v>
      </c>
      <c r="J16" s="38">
        <v>0</v>
      </c>
      <c r="K16" s="38">
        <f>+I16-J16+'[1]OCTUBRE f,'!K16</f>
        <v>12589918</v>
      </c>
      <c r="L16" s="40">
        <f t="shared" si="1"/>
        <v>1</v>
      </c>
      <c r="M16" s="38">
        <f t="shared" si="13"/>
        <v>0</v>
      </c>
      <c r="N16" s="38">
        <f t="shared" ref="N16:N24" si="16">I16</f>
        <v>3768647</v>
      </c>
      <c r="O16" s="38">
        <v>0</v>
      </c>
      <c r="P16" s="38">
        <f>+N16-O16+'[1]OCTUBRE f,'!P16</f>
        <v>12589918</v>
      </c>
      <c r="Q16" s="40">
        <f t="shared" si="4"/>
        <v>1</v>
      </c>
      <c r="R16" s="38">
        <f t="shared" ref="R16:R21" si="17">+H16-P16</f>
        <v>0</v>
      </c>
      <c r="S16" s="40">
        <f t="shared" si="5"/>
        <v>0</v>
      </c>
      <c r="T16" s="38">
        <f>'[1]OCTUBRE f,'!V16</f>
        <v>8821271</v>
      </c>
      <c r="U16" s="41">
        <f t="shared" ref="U16:U21" si="18">+N16</f>
        <v>3768647</v>
      </c>
      <c r="V16" s="41">
        <f t="shared" si="14"/>
        <v>12589918</v>
      </c>
      <c r="W16" s="42">
        <f t="shared" si="9"/>
        <v>1</v>
      </c>
      <c r="X16" s="41"/>
      <c r="Y16" s="38">
        <f>+X16+'[1]OCTUBRE f,'!Y16</f>
        <v>5989428</v>
      </c>
      <c r="Z16" s="40">
        <f t="shared" si="6"/>
        <v>0.47573208975626369</v>
      </c>
      <c r="AA16" s="43">
        <f t="shared" ref="AA16:AA21" si="19">+P16-Y16</f>
        <v>6600490</v>
      </c>
      <c r="AB16" s="47">
        <f>+H15-K15</f>
        <v>5502114</v>
      </c>
      <c r="AC16" s="15"/>
      <c r="AD16" s="48"/>
      <c r="AE16" s="15"/>
      <c r="AF16" s="15"/>
      <c r="AG16" s="49"/>
      <c r="AH16" s="15"/>
    </row>
    <row r="17" spans="1:33" s="44" customFormat="1" ht="19.899999999999999" customHeight="1" x14ac:dyDescent="0.2">
      <c r="A17" s="45" t="s">
        <v>55</v>
      </c>
      <c r="B17" s="46" t="s">
        <v>56</v>
      </c>
      <c r="C17" s="41">
        <v>2212149</v>
      </c>
      <c r="D17" s="37">
        <v>336329</v>
      </c>
      <c r="E17" s="37">
        <v>0</v>
      </c>
      <c r="F17" s="38">
        <v>0</v>
      </c>
      <c r="G17" s="39">
        <v>0</v>
      </c>
      <c r="H17" s="38">
        <f t="shared" si="15"/>
        <v>2548478</v>
      </c>
      <c r="I17" s="38">
        <f>'[1]CDP-RPNOV'!G18</f>
        <v>717837</v>
      </c>
      <c r="J17" s="38">
        <v>0</v>
      </c>
      <c r="K17" s="38">
        <f>+I17-J17+'[1]OCTUBRE f,'!K17</f>
        <v>2548478</v>
      </c>
      <c r="L17" s="40">
        <f t="shared" si="1"/>
        <v>1</v>
      </c>
      <c r="M17" s="38">
        <f t="shared" si="13"/>
        <v>0</v>
      </c>
      <c r="N17" s="38">
        <f t="shared" si="16"/>
        <v>717837</v>
      </c>
      <c r="O17" s="38">
        <v>0</v>
      </c>
      <c r="P17" s="38">
        <f>+N17-O17+'[1]OCTUBRE f,'!P17</f>
        <v>2548478</v>
      </c>
      <c r="Q17" s="40">
        <f t="shared" si="4"/>
        <v>1</v>
      </c>
      <c r="R17" s="38">
        <f t="shared" si="17"/>
        <v>0</v>
      </c>
      <c r="S17" s="40">
        <f t="shared" si="5"/>
        <v>0</v>
      </c>
      <c r="T17" s="38">
        <f>'[1]OCTUBRE f,'!V17</f>
        <v>1830641</v>
      </c>
      <c r="U17" s="41">
        <f t="shared" si="18"/>
        <v>717837</v>
      </c>
      <c r="V17" s="41">
        <f t="shared" si="14"/>
        <v>2548478</v>
      </c>
      <c r="W17" s="42">
        <f t="shared" si="9"/>
        <v>1</v>
      </c>
      <c r="X17" s="41"/>
      <c r="Y17" s="38">
        <f>+X17+'[1]OCTUBRE f,'!Y17</f>
        <v>1291242</v>
      </c>
      <c r="Z17" s="40">
        <f t="shared" si="6"/>
        <v>0.50667182530121901</v>
      </c>
      <c r="AA17" s="43">
        <f t="shared" si="19"/>
        <v>1257236</v>
      </c>
      <c r="AB17" s="50"/>
      <c r="AC17" s="50"/>
      <c r="AD17" s="51"/>
    </row>
    <row r="18" spans="1:33" s="44" customFormat="1" ht="19.899999999999999" customHeight="1" x14ac:dyDescent="0.2">
      <c r="A18" s="45" t="s">
        <v>57</v>
      </c>
      <c r="B18" s="46" t="s">
        <v>58</v>
      </c>
      <c r="C18" s="41">
        <v>36886768</v>
      </c>
      <c r="D18" s="37"/>
      <c r="E18" s="37">
        <v>2052682</v>
      </c>
      <c r="F18" s="38">
        <v>0</v>
      </c>
      <c r="G18" s="39">
        <v>0</v>
      </c>
      <c r="H18" s="38">
        <f t="shared" si="15"/>
        <v>34834086</v>
      </c>
      <c r="I18" s="38">
        <f>'[1]CDP-RPNOV'!G24</f>
        <v>7861290</v>
      </c>
      <c r="J18" s="38">
        <v>0</v>
      </c>
      <c r="K18" s="38">
        <f>+I18-J18+'[1]OCTUBRE f,'!K18</f>
        <v>9013613</v>
      </c>
      <c r="L18" s="40">
        <f t="shared" si="1"/>
        <v>0.25875841840661473</v>
      </c>
      <c r="M18" s="38">
        <f t="shared" si="13"/>
        <v>25820473</v>
      </c>
      <c r="N18" s="38">
        <f t="shared" si="16"/>
        <v>7861290</v>
      </c>
      <c r="O18" s="38">
        <v>0</v>
      </c>
      <c r="P18" s="38">
        <f>+N18-O18+'[1]OCTUBRE f,'!P18</f>
        <v>9013613</v>
      </c>
      <c r="Q18" s="40">
        <f t="shared" si="4"/>
        <v>0.25875841840661473</v>
      </c>
      <c r="R18" s="38">
        <f>+H18-P18</f>
        <v>25820473</v>
      </c>
      <c r="S18" s="40">
        <f t="shared" si="5"/>
        <v>0.74124158159338527</v>
      </c>
      <c r="T18" s="38">
        <f>'[1]OCTUBRE f,'!V18</f>
        <v>1152323</v>
      </c>
      <c r="U18" s="41">
        <f t="shared" si="18"/>
        <v>7861290</v>
      </c>
      <c r="V18" s="41">
        <f t="shared" si="14"/>
        <v>9013613</v>
      </c>
      <c r="W18" s="42">
        <f t="shared" si="9"/>
        <v>0.25875841840661473</v>
      </c>
      <c r="X18" s="41"/>
      <c r="Y18" s="38">
        <f>+X18+'[1]OCTUBRE f,'!Y18</f>
        <v>1152323</v>
      </c>
      <c r="Z18" s="40">
        <f t="shared" si="6"/>
        <v>3.3080328273863709E-2</v>
      </c>
      <c r="AA18" s="43">
        <f t="shared" si="19"/>
        <v>7861290</v>
      </c>
      <c r="AC18" s="50"/>
      <c r="AD18" s="50"/>
    </row>
    <row r="19" spans="1:33" s="44" customFormat="1" ht="19.899999999999999" customHeight="1" x14ac:dyDescent="0.2">
      <c r="A19" s="45" t="s">
        <v>59</v>
      </c>
      <c r="B19" s="46" t="s">
        <v>60</v>
      </c>
      <c r="C19" s="41">
        <v>15920294</v>
      </c>
      <c r="D19" s="37"/>
      <c r="E19" s="37">
        <v>599695</v>
      </c>
      <c r="F19" s="38">
        <v>0</v>
      </c>
      <c r="G19" s="39">
        <v>0</v>
      </c>
      <c r="H19" s="38">
        <f t="shared" si="15"/>
        <v>15320599</v>
      </c>
      <c r="I19" s="38">
        <f>'[1]CDP-RPNOV'!G30</f>
        <v>1236345</v>
      </c>
      <c r="J19" s="38">
        <v>0</v>
      </c>
      <c r="K19" s="38">
        <f>+I19-J19+'[1]OCTUBRE f,'!K19</f>
        <v>15320599</v>
      </c>
      <c r="L19" s="40">
        <f t="shared" si="1"/>
        <v>1</v>
      </c>
      <c r="M19" s="38">
        <f t="shared" si="13"/>
        <v>0</v>
      </c>
      <c r="N19" s="38">
        <f t="shared" si="16"/>
        <v>1236345</v>
      </c>
      <c r="O19" s="38">
        <v>0</v>
      </c>
      <c r="P19" s="38">
        <f>+N19-O19+'[1]OCTUBRE f,'!P19</f>
        <v>15320599</v>
      </c>
      <c r="Q19" s="40">
        <f t="shared" si="4"/>
        <v>1</v>
      </c>
      <c r="R19" s="38">
        <f t="shared" si="17"/>
        <v>0</v>
      </c>
      <c r="S19" s="40">
        <f t="shared" si="5"/>
        <v>0</v>
      </c>
      <c r="T19" s="38">
        <f>'[1]OCTUBRE f,'!V19</f>
        <v>14084254</v>
      </c>
      <c r="U19" s="41">
        <f t="shared" si="18"/>
        <v>1236345</v>
      </c>
      <c r="V19" s="41">
        <f t="shared" si="14"/>
        <v>15320599</v>
      </c>
      <c r="W19" s="42">
        <f t="shared" si="9"/>
        <v>1</v>
      </c>
      <c r="X19" s="41"/>
      <c r="Y19" s="38">
        <f>+X19+'[1]OCTUBRE f,'!Y19</f>
        <v>14084254</v>
      </c>
      <c r="Z19" s="40">
        <f t="shared" si="6"/>
        <v>0.91930178447983657</v>
      </c>
      <c r="AA19" s="43">
        <f t="shared" si="19"/>
        <v>1236345</v>
      </c>
      <c r="AB19" s="52">
        <f>+R19</f>
        <v>0</v>
      </c>
    </row>
    <row r="20" spans="1:33" s="44" customFormat="1" ht="19.899999999999999" customHeight="1" x14ac:dyDescent="0.2">
      <c r="A20" s="45" t="s">
        <v>61</v>
      </c>
      <c r="B20" s="46" t="s">
        <v>62</v>
      </c>
      <c r="C20" s="41">
        <v>17705647</v>
      </c>
      <c r="D20" s="37">
        <v>2130818</v>
      </c>
      <c r="E20" s="37">
        <v>0</v>
      </c>
      <c r="F20" s="38">
        <v>0</v>
      </c>
      <c r="G20" s="39">
        <v>0</v>
      </c>
      <c r="H20" s="38">
        <f t="shared" si="15"/>
        <v>19836465</v>
      </c>
      <c r="I20" s="38">
        <f>'[1]CDP-RPNOV'!G36</f>
        <v>5576747</v>
      </c>
      <c r="J20" s="38">
        <v>0</v>
      </c>
      <c r="K20" s="38">
        <f>+I20-J20+'[1]OCTUBRE f,'!K20</f>
        <v>19836465</v>
      </c>
      <c r="L20" s="40">
        <f t="shared" si="1"/>
        <v>1</v>
      </c>
      <c r="M20" s="38">
        <f t="shared" si="13"/>
        <v>0</v>
      </c>
      <c r="N20" s="38">
        <f t="shared" si="16"/>
        <v>5576747</v>
      </c>
      <c r="O20" s="38">
        <v>0</v>
      </c>
      <c r="P20" s="38">
        <f>+N20-O20+'[1]OCTUBRE f,'!P20</f>
        <v>19836465</v>
      </c>
      <c r="Q20" s="40">
        <f t="shared" si="4"/>
        <v>1</v>
      </c>
      <c r="R20" s="38">
        <f t="shared" si="17"/>
        <v>0</v>
      </c>
      <c r="S20" s="40">
        <f t="shared" si="5"/>
        <v>0</v>
      </c>
      <c r="T20" s="38">
        <f>'[1]OCTUBRE f,'!V20</f>
        <v>14259718</v>
      </c>
      <c r="U20" s="41">
        <f t="shared" si="18"/>
        <v>5576747</v>
      </c>
      <c r="V20" s="41">
        <f t="shared" si="14"/>
        <v>19836465</v>
      </c>
      <c r="W20" s="42">
        <f t="shared" si="9"/>
        <v>1</v>
      </c>
      <c r="X20" s="41"/>
      <c r="Y20" s="38">
        <f>+X20+'[1]OCTUBRE f,'!Y20</f>
        <v>10001364</v>
      </c>
      <c r="Z20" s="40">
        <f t="shared" si="6"/>
        <v>0.50419084247117618</v>
      </c>
      <c r="AA20" s="43">
        <f t="shared" si="19"/>
        <v>9835101</v>
      </c>
    </row>
    <row r="21" spans="1:33" s="44" customFormat="1" ht="19.899999999999999" customHeight="1" thickBot="1" x14ac:dyDescent="0.25">
      <c r="A21" s="45" t="s">
        <v>63</v>
      </c>
      <c r="B21" s="46" t="s">
        <v>64</v>
      </c>
      <c r="C21" s="53">
        <v>25968285</v>
      </c>
      <c r="D21" s="37">
        <v>3329277</v>
      </c>
      <c r="E21" s="37">
        <v>0</v>
      </c>
      <c r="F21" s="38">
        <v>0</v>
      </c>
      <c r="G21" s="39">
        <v>0</v>
      </c>
      <c r="H21" s="38">
        <f t="shared" si="15"/>
        <v>29297562</v>
      </c>
      <c r="I21" s="38">
        <f>'[1]CDP-RPNOV'!G42</f>
        <v>8467652</v>
      </c>
      <c r="J21" s="38">
        <v>0</v>
      </c>
      <c r="K21" s="38">
        <f>+I21-J21+'[1]OCTUBRE f,'!K21</f>
        <v>29297562</v>
      </c>
      <c r="L21" s="40">
        <f t="shared" si="1"/>
        <v>1</v>
      </c>
      <c r="M21" s="38">
        <f t="shared" si="13"/>
        <v>0</v>
      </c>
      <c r="N21" s="38">
        <f t="shared" si="16"/>
        <v>8467652</v>
      </c>
      <c r="O21" s="38">
        <v>0</v>
      </c>
      <c r="P21" s="38">
        <f>+N21-O21+'[1]OCTUBRE f,'!P21</f>
        <v>29297562</v>
      </c>
      <c r="Q21" s="40">
        <f t="shared" si="4"/>
        <v>1</v>
      </c>
      <c r="R21" s="38">
        <f t="shared" si="17"/>
        <v>0</v>
      </c>
      <c r="S21" s="40">
        <f t="shared" si="5"/>
        <v>0</v>
      </c>
      <c r="T21" s="38">
        <f>'[1]OCTUBRE f,'!V21</f>
        <v>20829910</v>
      </c>
      <c r="U21" s="41">
        <f t="shared" si="18"/>
        <v>8467652</v>
      </c>
      <c r="V21" s="41">
        <f t="shared" si="14"/>
        <v>29297562</v>
      </c>
      <c r="W21" s="42">
        <f>+V21/H21</f>
        <v>1</v>
      </c>
      <c r="X21" s="41"/>
      <c r="Y21" s="38">
        <f>+X21+'[1]OCTUBRE f,'!Y21</f>
        <v>14711946</v>
      </c>
      <c r="Z21" s="40">
        <f>+Y21/H21</f>
        <v>0.50215598144309759</v>
      </c>
      <c r="AA21" s="43">
        <f t="shared" si="19"/>
        <v>14585616</v>
      </c>
    </row>
    <row r="22" spans="1:33" ht="19.899999999999999" customHeight="1" thickBot="1" x14ac:dyDescent="0.3">
      <c r="A22" s="25" t="s">
        <v>65</v>
      </c>
      <c r="B22" s="26" t="s">
        <v>66</v>
      </c>
      <c r="C22" s="54">
        <f>+C23+C24</f>
        <v>345330000</v>
      </c>
      <c r="D22" s="28">
        <f t="shared" ref="D22:Y22" si="20">+D23+D24</f>
        <v>0</v>
      </c>
      <c r="E22" s="28">
        <f t="shared" si="20"/>
        <v>0</v>
      </c>
      <c r="F22" s="27">
        <f t="shared" si="20"/>
        <v>0</v>
      </c>
      <c r="G22" s="27">
        <f t="shared" si="20"/>
        <v>0</v>
      </c>
      <c r="H22" s="27">
        <f t="shared" si="20"/>
        <v>345330000</v>
      </c>
      <c r="I22" s="27">
        <f>+I23+I24</f>
        <v>0</v>
      </c>
      <c r="J22" s="27">
        <f t="shared" si="20"/>
        <v>4847727</v>
      </c>
      <c r="K22" s="27">
        <f t="shared" si="20"/>
        <v>163473075</v>
      </c>
      <c r="L22" s="23">
        <f>+K22/H22</f>
        <v>0.47338219963513162</v>
      </c>
      <c r="M22" s="27">
        <f t="shared" si="20"/>
        <v>181856925</v>
      </c>
      <c r="N22" s="27">
        <f t="shared" si="20"/>
        <v>0</v>
      </c>
      <c r="O22" s="27">
        <f t="shared" si="20"/>
        <v>4847727</v>
      </c>
      <c r="P22" s="27">
        <f t="shared" si="20"/>
        <v>163473075</v>
      </c>
      <c r="Q22" s="23">
        <f t="shared" si="4"/>
        <v>0.47338219963513162</v>
      </c>
      <c r="R22" s="27">
        <f t="shared" si="20"/>
        <v>181856925</v>
      </c>
      <c r="S22" s="23">
        <f t="shared" si="20"/>
        <v>1.043055023153528</v>
      </c>
      <c r="T22" s="27">
        <f t="shared" si="20"/>
        <v>127422133</v>
      </c>
      <c r="U22" s="27">
        <f t="shared" si="20"/>
        <v>12222000</v>
      </c>
      <c r="V22" s="27">
        <f t="shared" si="20"/>
        <v>139644133</v>
      </c>
      <c r="W22" s="23">
        <f t="shared" si="9"/>
        <v>0.40437880577997859</v>
      </c>
      <c r="X22" s="27">
        <f t="shared" si="20"/>
        <v>11919333</v>
      </c>
      <c r="Y22" s="27">
        <f t="shared" si="20"/>
        <v>135574133</v>
      </c>
      <c r="Z22" s="23">
        <f t="shared" si="6"/>
        <v>0.3925929777314453</v>
      </c>
      <c r="AA22" s="32">
        <f>+AA23+AA24</f>
        <v>27898942</v>
      </c>
      <c r="AB22" s="44"/>
      <c r="AC22" s="44"/>
      <c r="AD22" s="44"/>
      <c r="AE22" s="44"/>
      <c r="AF22" s="44"/>
      <c r="AG22" s="44"/>
    </row>
    <row r="23" spans="1:33" s="44" customFormat="1" ht="19.899999999999999" customHeight="1" x14ac:dyDescent="0.2">
      <c r="A23" s="45" t="s">
        <v>67</v>
      </c>
      <c r="B23" s="46" t="s">
        <v>68</v>
      </c>
      <c r="C23" s="36">
        <v>231000000</v>
      </c>
      <c r="D23" s="55">
        <v>0</v>
      </c>
      <c r="E23" s="55">
        <v>0</v>
      </c>
      <c r="F23" s="38">
        <v>0</v>
      </c>
      <c r="G23" s="39">
        <v>0</v>
      </c>
      <c r="H23" s="38">
        <f t="shared" si="15"/>
        <v>231000000</v>
      </c>
      <c r="I23" s="38">
        <v>0</v>
      </c>
      <c r="J23" s="38">
        <v>4847727</v>
      </c>
      <c r="K23" s="38">
        <f>+I23-J23+'[1]OCTUBRE f,'!K23</f>
        <v>107046742</v>
      </c>
      <c r="L23" s="40">
        <f t="shared" si="1"/>
        <v>0.4634058095238095</v>
      </c>
      <c r="M23" s="38">
        <f>+H23-K23</f>
        <v>123953258</v>
      </c>
      <c r="N23" s="38">
        <f t="shared" si="16"/>
        <v>0</v>
      </c>
      <c r="O23" s="38">
        <v>4847727</v>
      </c>
      <c r="P23" s="38">
        <f>+N23-O23+'[1]OCTUBRE f,'!P23</f>
        <v>107046742</v>
      </c>
      <c r="Q23" s="40">
        <f t="shared" si="4"/>
        <v>0.4634058095238095</v>
      </c>
      <c r="R23" s="38">
        <f>+H23-P23</f>
        <v>123953258</v>
      </c>
      <c r="S23" s="40">
        <f t="shared" si="5"/>
        <v>0.5365941904761905</v>
      </c>
      <c r="T23" s="38">
        <f>'[1]OCTUBRE f,'!V23</f>
        <v>79135800</v>
      </c>
      <c r="U23" s="41">
        <v>8152000</v>
      </c>
      <c r="V23" s="41">
        <f t="shared" ref="V23:V49" si="21">+T23+U23</f>
        <v>87287800</v>
      </c>
      <c r="W23" s="42">
        <f t="shared" si="9"/>
        <v>0.37786926406926408</v>
      </c>
      <c r="X23" s="41">
        <f>2968000+1484000+3700000</f>
        <v>8152000</v>
      </c>
      <c r="Y23" s="38">
        <f>+X23+'[1]OCTUBRE f,'!Y23</f>
        <v>87287800</v>
      </c>
      <c r="Z23" s="40">
        <f t="shared" si="6"/>
        <v>0.37786926406926408</v>
      </c>
      <c r="AA23" s="56">
        <f>+P23-Y23</f>
        <v>19758942</v>
      </c>
      <c r="AB23" s="52">
        <f>+M23</f>
        <v>123953258</v>
      </c>
      <c r="AC23" s="57">
        <f>+AA23-AD23</f>
        <v>0</v>
      </c>
      <c r="AD23" s="58">
        <v>19758942</v>
      </c>
      <c r="AE23" s="1"/>
      <c r="AF23" s="1"/>
      <c r="AG23" s="1"/>
    </row>
    <row r="24" spans="1:33" s="44" customFormat="1" ht="19.899999999999999" customHeight="1" thickBot="1" x14ac:dyDescent="0.25">
      <c r="A24" s="45" t="s">
        <v>69</v>
      </c>
      <c r="B24" s="46" t="s">
        <v>70</v>
      </c>
      <c r="C24" s="53">
        <v>114330000</v>
      </c>
      <c r="D24" s="55">
        <v>0</v>
      </c>
      <c r="E24" s="55">
        <v>0</v>
      </c>
      <c r="F24" s="38">
        <v>0</v>
      </c>
      <c r="G24" s="39">
        <v>0</v>
      </c>
      <c r="H24" s="38">
        <f t="shared" si="15"/>
        <v>114330000</v>
      </c>
      <c r="I24" s="38">
        <v>0</v>
      </c>
      <c r="J24" s="38">
        <v>0</v>
      </c>
      <c r="K24" s="38">
        <f>+I24-J24+'[1]OCTUBRE f,'!K24</f>
        <v>56426333</v>
      </c>
      <c r="L24" s="40">
        <f t="shared" si="1"/>
        <v>0.49353916732266245</v>
      </c>
      <c r="M24" s="38">
        <f>+H24-K24</f>
        <v>57903667</v>
      </c>
      <c r="N24" s="38">
        <f t="shared" si="16"/>
        <v>0</v>
      </c>
      <c r="O24" s="38">
        <v>0</v>
      </c>
      <c r="P24" s="38">
        <f>+N24-O24+'[1]OCTUBRE f,'!P24</f>
        <v>56426333</v>
      </c>
      <c r="Q24" s="40">
        <f t="shared" si="4"/>
        <v>0.49353916732266245</v>
      </c>
      <c r="R24" s="38">
        <f>+H24-P24</f>
        <v>57903667</v>
      </c>
      <c r="S24" s="40">
        <f t="shared" si="5"/>
        <v>0.50646083267733755</v>
      </c>
      <c r="T24" s="38">
        <f>'[1]OCTUBRE f,'!V24</f>
        <v>48286333</v>
      </c>
      <c r="U24" s="41">
        <v>4070000</v>
      </c>
      <c r="V24" s="41">
        <f t="shared" si="21"/>
        <v>52356333</v>
      </c>
      <c r="W24" s="42">
        <f>+V24/H24</f>
        <v>0.45794046182104436</v>
      </c>
      <c r="X24" s="41">
        <f>1967333+1800000</f>
        <v>3767333</v>
      </c>
      <c r="Y24" s="38">
        <f>+X24+'[1]OCTUBRE f,'!Y24</f>
        <v>48286333</v>
      </c>
      <c r="Z24" s="40">
        <f>+Y24/H24</f>
        <v>0.42234175631942622</v>
      </c>
      <c r="AA24" s="43">
        <f>+P24-Y24</f>
        <v>8140000</v>
      </c>
      <c r="AB24" s="52">
        <f>+R24</f>
        <v>57903667</v>
      </c>
      <c r="AC24" s="59"/>
      <c r="AD24" s="59"/>
      <c r="AE24" s="59"/>
      <c r="AF24" s="59"/>
    </row>
    <row r="25" spans="1:33" ht="19.899999999999999" customHeight="1" x14ac:dyDescent="0.25">
      <c r="A25" s="25" t="s">
        <v>71</v>
      </c>
      <c r="B25" s="26" t="s">
        <v>72</v>
      </c>
      <c r="C25" s="21">
        <f>+C26+C36</f>
        <v>165976054.61000001</v>
      </c>
      <c r="D25" s="28">
        <f t="shared" ref="D25:X25" si="22">+D26+D36</f>
        <v>8167806</v>
      </c>
      <c r="E25" s="28">
        <f t="shared" si="22"/>
        <v>0</v>
      </c>
      <c r="F25" s="27">
        <f t="shared" si="22"/>
        <v>0</v>
      </c>
      <c r="G25" s="27">
        <f t="shared" si="22"/>
        <v>0</v>
      </c>
      <c r="H25" s="27">
        <f t="shared" si="22"/>
        <v>174143860.61000001</v>
      </c>
      <c r="I25" s="27">
        <f t="shared" si="22"/>
        <v>19792367</v>
      </c>
      <c r="J25" s="27">
        <f t="shared" si="22"/>
        <v>0</v>
      </c>
      <c r="K25" s="27">
        <f t="shared" si="22"/>
        <v>138755598</v>
      </c>
      <c r="L25" s="23">
        <f>+K25/H25</f>
        <v>0.79678719372569207</v>
      </c>
      <c r="M25" s="27">
        <f t="shared" si="22"/>
        <v>35388262.719999999</v>
      </c>
      <c r="N25" s="27">
        <f t="shared" si="22"/>
        <v>19792367</v>
      </c>
      <c r="O25" s="27">
        <f t="shared" si="22"/>
        <v>0</v>
      </c>
      <c r="P25" s="27">
        <f t="shared" si="22"/>
        <v>138755598</v>
      </c>
      <c r="Q25" s="23">
        <f t="shared" si="4"/>
        <v>0.79678719372569207</v>
      </c>
      <c r="R25" s="27">
        <f t="shared" si="22"/>
        <v>35388262.609999999</v>
      </c>
      <c r="S25" s="23">
        <f t="shared" si="22"/>
        <v>1.5818001240531039</v>
      </c>
      <c r="T25" s="27">
        <f t="shared" si="22"/>
        <v>117486694</v>
      </c>
      <c r="U25" s="27">
        <f t="shared" si="22"/>
        <v>19774590</v>
      </c>
      <c r="V25" s="27">
        <f t="shared" si="22"/>
        <v>137261284</v>
      </c>
      <c r="W25" s="23">
        <f>+V25/H25</f>
        <v>0.78820627680582112</v>
      </c>
      <c r="X25" s="27">
        <f t="shared" si="22"/>
        <v>11147033</v>
      </c>
      <c r="Y25" s="27">
        <f>+Y26+Y36</f>
        <v>118981831</v>
      </c>
      <c r="Z25" s="23">
        <f t="shared" si="6"/>
        <v>0.68323873482087949</v>
      </c>
      <c r="AA25" s="32">
        <f>+AA26+AA36</f>
        <v>19773767</v>
      </c>
      <c r="AB25" s="59"/>
      <c r="AC25" s="59"/>
      <c r="AD25" s="59"/>
      <c r="AE25" s="44"/>
      <c r="AF25" s="44"/>
      <c r="AG25" s="44"/>
    </row>
    <row r="26" spans="1:33" ht="19.899999999999999" customHeight="1" x14ac:dyDescent="0.25">
      <c r="A26" s="25" t="s">
        <v>73</v>
      </c>
      <c r="B26" s="26" t="s">
        <v>74</v>
      </c>
      <c r="C26" s="27">
        <f>+C27+C33</f>
        <v>74066032</v>
      </c>
      <c r="D26" s="28">
        <f t="shared" ref="D26:X26" si="23">+D27+D33</f>
        <v>3714081</v>
      </c>
      <c r="E26" s="28">
        <f t="shared" si="23"/>
        <v>0</v>
      </c>
      <c r="F26" s="27">
        <f t="shared" si="23"/>
        <v>0</v>
      </c>
      <c r="G26" s="27">
        <f t="shared" si="23"/>
        <v>0</v>
      </c>
      <c r="H26" s="27">
        <f t="shared" si="23"/>
        <v>77780113</v>
      </c>
      <c r="I26" s="27">
        <f t="shared" si="23"/>
        <v>11206267</v>
      </c>
      <c r="J26" s="27">
        <f t="shared" si="23"/>
        <v>0</v>
      </c>
      <c r="K26" s="27">
        <f t="shared" si="23"/>
        <v>64169620</v>
      </c>
      <c r="L26" s="23">
        <f>+K26/H26</f>
        <v>0.82501320099650666</v>
      </c>
      <c r="M26" s="27">
        <f t="shared" si="23"/>
        <v>13610493</v>
      </c>
      <c r="N26" s="27">
        <f t="shared" si="23"/>
        <v>11206267</v>
      </c>
      <c r="O26" s="27">
        <f t="shared" si="23"/>
        <v>0</v>
      </c>
      <c r="P26" s="27">
        <f t="shared" si="23"/>
        <v>64169620</v>
      </c>
      <c r="Q26" s="23">
        <f t="shared" si="4"/>
        <v>0.82501320099650666</v>
      </c>
      <c r="R26" s="27">
        <f t="shared" si="23"/>
        <v>13610493</v>
      </c>
      <c r="S26" s="23">
        <f t="shared" si="23"/>
        <v>1.3558046625841473</v>
      </c>
      <c r="T26" s="27">
        <f t="shared" si="23"/>
        <v>51467169</v>
      </c>
      <c r="U26" s="27">
        <f t="shared" si="23"/>
        <v>11624490</v>
      </c>
      <c r="V26" s="27">
        <f t="shared" si="23"/>
        <v>63091659</v>
      </c>
      <c r="W26" s="23">
        <f>+V26/H26</f>
        <v>0.81115411853412966</v>
      </c>
      <c r="X26" s="27">
        <f t="shared" si="23"/>
        <v>2744200</v>
      </c>
      <c r="Y26" s="27">
        <f>+Y27+Y33</f>
        <v>52974853</v>
      </c>
      <c r="Z26" s="23">
        <f t="shared" si="6"/>
        <v>0.68108480377239877</v>
      </c>
      <c r="AA26" s="32">
        <f>+AA27+AA33</f>
        <v>11194767</v>
      </c>
      <c r="AB26" s="57"/>
      <c r="AC26" s="57"/>
      <c r="AD26" s="57"/>
    </row>
    <row r="27" spans="1:33" ht="19.899999999999999" customHeight="1" x14ac:dyDescent="0.25">
      <c r="A27" s="25" t="s">
        <v>75</v>
      </c>
      <c r="B27" s="26" t="s">
        <v>76</v>
      </c>
      <c r="C27" s="60">
        <f>+C28+C31</f>
        <v>54156688</v>
      </c>
      <c r="D27" s="61">
        <f t="shared" ref="D27:X27" si="24">+D28+D31</f>
        <v>3714081</v>
      </c>
      <c r="E27" s="61">
        <f t="shared" si="24"/>
        <v>0</v>
      </c>
      <c r="F27" s="60">
        <f t="shared" si="24"/>
        <v>0</v>
      </c>
      <c r="G27" s="60">
        <f t="shared" si="24"/>
        <v>0</v>
      </c>
      <c r="H27" s="60">
        <f t="shared" si="24"/>
        <v>57870769</v>
      </c>
      <c r="I27" s="60">
        <f t="shared" si="24"/>
        <v>9546267</v>
      </c>
      <c r="J27" s="60">
        <f t="shared" si="24"/>
        <v>0</v>
      </c>
      <c r="K27" s="60">
        <f t="shared" si="24"/>
        <v>46105420</v>
      </c>
      <c r="L27" s="23">
        <f>+K27/H27</f>
        <v>0.79669616970184032</v>
      </c>
      <c r="M27" s="60">
        <f t="shared" si="24"/>
        <v>11765349</v>
      </c>
      <c r="N27" s="60">
        <f t="shared" si="24"/>
        <v>9546267</v>
      </c>
      <c r="O27" s="60">
        <f t="shared" si="24"/>
        <v>0</v>
      </c>
      <c r="P27" s="60">
        <f t="shared" si="24"/>
        <v>46105420</v>
      </c>
      <c r="Q27" s="23">
        <f t="shared" si="4"/>
        <v>0.79669616970184032</v>
      </c>
      <c r="R27" s="60">
        <f t="shared" si="24"/>
        <v>11765349</v>
      </c>
      <c r="S27" s="23">
        <f t="shared" si="24"/>
        <v>1.2631273749748719</v>
      </c>
      <c r="T27" s="60">
        <f t="shared" si="24"/>
        <v>35062969</v>
      </c>
      <c r="U27" s="60">
        <f t="shared" si="24"/>
        <v>9964490</v>
      </c>
      <c r="V27" s="60">
        <f t="shared" si="24"/>
        <v>45027459</v>
      </c>
      <c r="W27" s="23">
        <f>+V27/H27</f>
        <v>0.77806913193083715</v>
      </c>
      <c r="X27" s="60">
        <f t="shared" si="24"/>
        <v>1084000</v>
      </c>
      <c r="Y27" s="60">
        <f>+Y28+Y31</f>
        <v>36570653</v>
      </c>
      <c r="Z27" s="23">
        <f t="shared" si="6"/>
        <v>0.63193653085895574</v>
      </c>
      <c r="AA27" s="62">
        <f>+AA28+AA31</f>
        <v>9534767</v>
      </c>
    </row>
    <row r="28" spans="1:33" ht="19.899999999999999" customHeight="1" thickBot="1" x14ac:dyDescent="0.4">
      <c r="A28" s="25" t="s">
        <v>77</v>
      </c>
      <c r="B28" s="26" t="s">
        <v>78</v>
      </c>
      <c r="C28" s="63">
        <f>+C30+C29</f>
        <v>25881652</v>
      </c>
      <c r="D28" s="28">
        <f t="shared" ref="D28:X28" si="25">+D30+D29</f>
        <v>3714081</v>
      </c>
      <c r="E28" s="28">
        <f t="shared" si="25"/>
        <v>0</v>
      </c>
      <c r="F28" s="27">
        <f t="shared" si="25"/>
        <v>0</v>
      </c>
      <c r="G28" s="27">
        <f t="shared" si="25"/>
        <v>0</v>
      </c>
      <c r="H28" s="27">
        <f t="shared" si="25"/>
        <v>29595733</v>
      </c>
      <c r="I28" s="27">
        <f t="shared" si="25"/>
        <v>8576667</v>
      </c>
      <c r="J28" s="27">
        <f t="shared" si="25"/>
        <v>0</v>
      </c>
      <c r="K28" s="27">
        <f t="shared" si="25"/>
        <v>25270320</v>
      </c>
      <c r="L28" s="23">
        <f>+K28/H28</f>
        <v>0.85385011413638578</v>
      </c>
      <c r="M28" s="27">
        <f t="shared" si="25"/>
        <v>4325413</v>
      </c>
      <c r="N28" s="27">
        <f t="shared" si="25"/>
        <v>8576667</v>
      </c>
      <c r="O28" s="27">
        <f t="shared" si="25"/>
        <v>0</v>
      </c>
      <c r="P28" s="27">
        <f t="shared" si="25"/>
        <v>25270320</v>
      </c>
      <c r="Q28" s="23">
        <f t="shared" si="4"/>
        <v>0.85385011413638578</v>
      </c>
      <c r="R28" s="27">
        <f t="shared" si="25"/>
        <v>4325413</v>
      </c>
      <c r="S28" s="23">
        <f t="shared" si="25"/>
        <v>1</v>
      </c>
      <c r="T28" s="27">
        <f t="shared" si="25"/>
        <v>15179769</v>
      </c>
      <c r="U28" s="27">
        <f t="shared" si="25"/>
        <v>9012590</v>
      </c>
      <c r="V28" s="27">
        <f t="shared" si="25"/>
        <v>24192359</v>
      </c>
      <c r="W28" s="23">
        <f>+V28/H28</f>
        <v>0.81742726223405249</v>
      </c>
      <c r="X28" s="27">
        <f t="shared" si="25"/>
        <v>0</v>
      </c>
      <c r="Y28" s="27">
        <f>+Y30+Y29</f>
        <v>16693653</v>
      </c>
      <c r="Z28" s="23">
        <f t="shared" si="6"/>
        <v>0.564056075245712</v>
      </c>
      <c r="AA28" s="32">
        <f>+AA30+AA29</f>
        <v>8576667</v>
      </c>
      <c r="AC28" s="64"/>
    </row>
    <row r="29" spans="1:33" s="44" customFormat="1" ht="19.899999999999999" customHeight="1" x14ac:dyDescent="0.2">
      <c r="A29" s="65" t="s">
        <v>79</v>
      </c>
      <c r="B29" s="66" t="s">
        <v>80</v>
      </c>
      <c r="C29" s="36">
        <v>4325413</v>
      </c>
      <c r="D29" s="55"/>
      <c r="E29" s="55">
        <v>0</v>
      </c>
      <c r="F29" s="38">
        <v>0</v>
      </c>
      <c r="G29" s="39">
        <v>0</v>
      </c>
      <c r="H29" s="38">
        <f>+C29+D29-E29+F29-G29</f>
        <v>4325413</v>
      </c>
      <c r="I29" s="38">
        <f>+'[1]CDP-RP SEPT'!C59</f>
        <v>0</v>
      </c>
      <c r="J29" s="38">
        <v>0</v>
      </c>
      <c r="K29" s="38">
        <f>+I29-J29+'[1]OCTUBRE f,'!K29</f>
        <v>0</v>
      </c>
      <c r="L29" s="40">
        <f t="shared" ref="L29:L67" si="26">+K29/H29</f>
        <v>0</v>
      </c>
      <c r="M29" s="38">
        <f>+H29-K29</f>
        <v>4325413</v>
      </c>
      <c r="N29" s="38">
        <f>I29</f>
        <v>0</v>
      </c>
      <c r="O29" s="38">
        <v>0</v>
      </c>
      <c r="P29" s="38">
        <f>+N29-O29+'[1]OCTUBRE f,'!P29</f>
        <v>0</v>
      </c>
      <c r="Q29" s="40">
        <f t="shared" si="4"/>
        <v>0</v>
      </c>
      <c r="R29" s="38">
        <f>+H29-P29</f>
        <v>4325413</v>
      </c>
      <c r="S29" s="40">
        <f t="shared" si="5"/>
        <v>1</v>
      </c>
      <c r="T29" s="38">
        <f>'[1]OCTUBRE f,'!V29</f>
        <v>0</v>
      </c>
      <c r="U29" s="41"/>
      <c r="V29" s="41">
        <f t="shared" si="21"/>
        <v>0</v>
      </c>
      <c r="W29" s="42">
        <f t="shared" si="9"/>
        <v>0</v>
      </c>
      <c r="X29" s="41">
        <f>+U29</f>
        <v>0</v>
      </c>
      <c r="Y29" s="38">
        <f>+X29+'[1]OCTUBRE f,'!Y29</f>
        <v>0</v>
      </c>
      <c r="Z29" s="40">
        <f t="shared" si="6"/>
        <v>0</v>
      </c>
      <c r="AA29" s="56">
        <f>+P29-Y29</f>
        <v>0</v>
      </c>
      <c r="AB29" s="52">
        <f>+R29</f>
        <v>4325413</v>
      </c>
      <c r="AC29" s="1"/>
      <c r="AD29" s="1"/>
      <c r="AE29" s="1"/>
      <c r="AF29" s="1"/>
      <c r="AG29" s="1"/>
    </row>
    <row r="30" spans="1:33" s="44" customFormat="1" ht="19.899999999999999" customHeight="1" thickBot="1" x14ac:dyDescent="0.25">
      <c r="A30" s="45" t="s">
        <v>81</v>
      </c>
      <c r="B30" s="46" t="s">
        <v>82</v>
      </c>
      <c r="C30" s="53">
        <v>21556239</v>
      </c>
      <c r="D30" s="55">
        <v>3714081</v>
      </c>
      <c r="E30" s="55">
        <v>0</v>
      </c>
      <c r="F30" s="38">
        <v>0</v>
      </c>
      <c r="G30" s="39">
        <v>0</v>
      </c>
      <c r="H30" s="38">
        <f>+C30+D30-E30+F30-G30</f>
        <v>25270320</v>
      </c>
      <c r="I30" s="38">
        <f>'[1]CDP-RPNOV'!G67</f>
        <v>8576667</v>
      </c>
      <c r="J30" s="38">
        <v>0</v>
      </c>
      <c r="K30" s="38">
        <f>+I30-J30+'[1]OCTUBRE f,'!K30</f>
        <v>25270320</v>
      </c>
      <c r="L30" s="40">
        <f t="shared" si="26"/>
        <v>1</v>
      </c>
      <c r="M30" s="38">
        <f>+H30-K30</f>
        <v>0</v>
      </c>
      <c r="N30" s="38">
        <f>I30</f>
        <v>8576667</v>
      </c>
      <c r="O30" s="38">
        <v>0</v>
      </c>
      <c r="P30" s="38">
        <f>+N30-O30+'[1]OCTUBRE f,'!P30</f>
        <v>25270320</v>
      </c>
      <c r="Q30" s="40">
        <f t="shared" si="4"/>
        <v>1</v>
      </c>
      <c r="R30" s="41">
        <f>+H30-P30</f>
        <v>0</v>
      </c>
      <c r="S30" s="40">
        <f t="shared" si="5"/>
        <v>0</v>
      </c>
      <c r="T30" s="38">
        <f>'[1]OCTUBRE f,'!V30</f>
        <v>15179769</v>
      </c>
      <c r="U30" s="41">
        <v>9012590</v>
      </c>
      <c r="V30" s="41">
        <f t="shared" si="21"/>
        <v>24192359</v>
      </c>
      <c r="W30" s="42">
        <f>+V30/H30</f>
        <v>0.95734280373180869</v>
      </c>
      <c r="X30" s="41">
        <v>0</v>
      </c>
      <c r="Y30" s="38">
        <f>+X30+'[1]OCTUBRE f,'!Y30</f>
        <v>16693653</v>
      </c>
      <c r="Z30" s="40">
        <f t="shared" si="6"/>
        <v>0.66060315025690219</v>
      </c>
      <c r="AA30" s="43">
        <f>+P30-Y30</f>
        <v>8576667</v>
      </c>
      <c r="AC30" s="59"/>
      <c r="AD30" s="59"/>
    </row>
    <row r="31" spans="1:33" ht="19.899999999999999" customHeight="1" thickBot="1" x14ac:dyDescent="0.3">
      <c r="A31" s="25" t="s">
        <v>83</v>
      </c>
      <c r="B31" s="26" t="s">
        <v>84</v>
      </c>
      <c r="C31" s="54">
        <f>+C32</f>
        <v>28275036</v>
      </c>
      <c r="D31" s="28">
        <f>+D32</f>
        <v>0</v>
      </c>
      <c r="E31" s="28">
        <f>+E32</f>
        <v>0</v>
      </c>
      <c r="F31" s="27">
        <f>+F32</f>
        <v>0</v>
      </c>
      <c r="G31" s="29">
        <f>+G32</f>
        <v>0</v>
      </c>
      <c r="H31" s="30">
        <f t="shared" ref="H31:Y31" si="27">+H32</f>
        <v>28275036</v>
      </c>
      <c r="I31" s="30">
        <f t="shared" si="27"/>
        <v>969600</v>
      </c>
      <c r="J31" s="30">
        <f t="shared" si="27"/>
        <v>0</v>
      </c>
      <c r="K31" s="30">
        <f t="shared" si="27"/>
        <v>20835100</v>
      </c>
      <c r="L31" s="23">
        <f>+K31/H31</f>
        <v>0.73687262502512818</v>
      </c>
      <c r="M31" s="30">
        <f t="shared" si="27"/>
        <v>7439936</v>
      </c>
      <c r="N31" s="30">
        <f t="shared" si="27"/>
        <v>969600</v>
      </c>
      <c r="O31" s="30">
        <f t="shared" si="27"/>
        <v>0</v>
      </c>
      <c r="P31" s="30">
        <f t="shared" si="27"/>
        <v>20835100</v>
      </c>
      <c r="Q31" s="23">
        <f t="shared" si="4"/>
        <v>0.73687262502512818</v>
      </c>
      <c r="R31" s="30">
        <f t="shared" si="27"/>
        <v>7439936</v>
      </c>
      <c r="S31" s="23">
        <f t="shared" si="5"/>
        <v>0.26312737497487182</v>
      </c>
      <c r="T31" s="30">
        <f t="shared" si="27"/>
        <v>19883200</v>
      </c>
      <c r="U31" s="30">
        <f t="shared" si="27"/>
        <v>951900</v>
      </c>
      <c r="V31" s="30">
        <f t="shared" si="27"/>
        <v>20835100</v>
      </c>
      <c r="W31" s="23">
        <f t="shared" si="9"/>
        <v>0.73687262502512818</v>
      </c>
      <c r="X31" s="30">
        <f t="shared" si="27"/>
        <v>1084000</v>
      </c>
      <c r="Y31" s="30">
        <f t="shared" si="27"/>
        <v>19877000</v>
      </c>
      <c r="Z31" s="23">
        <f t="shared" si="6"/>
        <v>0.70298761069658766</v>
      </c>
      <c r="AA31" s="31">
        <f>+AA32</f>
        <v>958100</v>
      </c>
      <c r="AB31" s="44"/>
      <c r="AC31" s="44"/>
      <c r="AD31" s="44"/>
      <c r="AE31" s="44"/>
      <c r="AF31" s="44"/>
      <c r="AG31" s="44"/>
    </row>
    <row r="32" spans="1:33" s="44" customFormat="1" ht="19.899999999999999" customHeight="1" thickBot="1" x14ac:dyDescent="0.25">
      <c r="A32" s="45" t="s">
        <v>85</v>
      </c>
      <c r="B32" s="46" t="s">
        <v>86</v>
      </c>
      <c r="C32" s="67">
        <v>28275036</v>
      </c>
      <c r="D32" s="37">
        <v>0</v>
      </c>
      <c r="E32" s="55">
        <v>0</v>
      </c>
      <c r="F32" s="38">
        <v>0</v>
      </c>
      <c r="G32" s="39">
        <v>0</v>
      </c>
      <c r="H32" s="38">
        <f>+C32+D32-E32+F32-G32</f>
        <v>28275036</v>
      </c>
      <c r="I32" s="38">
        <f>'[1]CDP-RPNOV'!G73</f>
        <v>969600</v>
      </c>
      <c r="J32" s="38">
        <v>0</v>
      </c>
      <c r="K32" s="38">
        <f>+I32-J32+'[1]OCTUBRE f,'!K32</f>
        <v>20835100</v>
      </c>
      <c r="L32" s="40">
        <f t="shared" si="26"/>
        <v>0.73687262502512818</v>
      </c>
      <c r="M32" s="38">
        <f>+H32-K32</f>
        <v>7439936</v>
      </c>
      <c r="N32" s="38">
        <f>I32</f>
        <v>969600</v>
      </c>
      <c r="O32" s="38">
        <v>0</v>
      </c>
      <c r="P32" s="38">
        <f>+N32-O32+'[1]OCTUBRE f,'!P32</f>
        <v>20835100</v>
      </c>
      <c r="Q32" s="40">
        <f t="shared" si="4"/>
        <v>0.73687262502512818</v>
      </c>
      <c r="R32" s="38">
        <f>+H32-P32</f>
        <v>7439936</v>
      </c>
      <c r="S32" s="40">
        <f t="shared" si="5"/>
        <v>0.26312737497487182</v>
      </c>
      <c r="T32" s="38">
        <f>'[1]OCTUBRE f,'!V32</f>
        <v>19883200</v>
      </c>
      <c r="U32" s="41">
        <v>951900</v>
      </c>
      <c r="V32" s="41">
        <f t="shared" si="21"/>
        <v>20835100</v>
      </c>
      <c r="W32" s="42">
        <f t="shared" si="9"/>
        <v>0.73687262502512818</v>
      </c>
      <c r="X32" s="41">
        <v>1084000</v>
      </c>
      <c r="Y32" s="38">
        <f>+X32+'[1]OCTUBRE f,'!Y32</f>
        <v>19877000</v>
      </c>
      <c r="Z32" s="40">
        <f t="shared" si="6"/>
        <v>0.70298761069658766</v>
      </c>
      <c r="AA32" s="56">
        <f>+P32-Y32</f>
        <v>958100</v>
      </c>
      <c r="AB32" s="52">
        <f>+R32-996900</f>
        <v>6443036</v>
      </c>
      <c r="AC32" s="1"/>
      <c r="AD32" s="1"/>
      <c r="AE32" s="1"/>
      <c r="AF32" s="1"/>
      <c r="AG32" s="1"/>
    </row>
    <row r="33" spans="1:33" ht="19.899999999999999" customHeight="1" thickBot="1" x14ac:dyDescent="0.3">
      <c r="A33" s="25" t="s">
        <v>87</v>
      </c>
      <c r="B33" s="26" t="s">
        <v>88</v>
      </c>
      <c r="C33" s="54">
        <f>+C34+C35</f>
        <v>19909344</v>
      </c>
      <c r="D33" s="28">
        <f>+D34+D35</f>
        <v>0</v>
      </c>
      <c r="E33" s="28">
        <f>+E34+E35</f>
        <v>0</v>
      </c>
      <c r="F33" s="27">
        <f>+F34+F35</f>
        <v>0</v>
      </c>
      <c r="G33" s="29">
        <f>+G34+G35</f>
        <v>0</v>
      </c>
      <c r="H33" s="30">
        <f t="shared" ref="H33:X33" si="28">+H34+H35</f>
        <v>19909344</v>
      </c>
      <c r="I33" s="30">
        <f t="shared" si="28"/>
        <v>1660000</v>
      </c>
      <c r="J33" s="30">
        <f t="shared" si="28"/>
        <v>0</v>
      </c>
      <c r="K33" s="30">
        <f t="shared" si="28"/>
        <v>18064200</v>
      </c>
      <c r="L33" s="23">
        <f>+K33/H33</f>
        <v>0.90732271239072471</v>
      </c>
      <c r="M33" s="30">
        <f t="shared" si="28"/>
        <v>1845144</v>
      </c>
      <c r="N33" s="30">
        <f t="shared" si="28"/>
        <v>1660000</v>
      </c>
      <c r="O33" s="30">
        <f t="shared" si="28"/>
        <v>0</v>
      </c>
      <c r="P33" s="30">
        <f t="shared" si="28"/>
        <v>18064200</v>
      </c>
      <c r="Q33" s="23">
        <f t="shared" si="4"/>
        <v>0.90732271239072471</v>
      </c>
      <c r="R33" s="30">
        <f t="shared" si="28"/>
        <v>1845144</v>
      </c>
      <c r="S33" s="23">
        <f t="shared" si="5"/>
        <v>9.2677287609275322E-2</v>
      </c>
      <c r="T33" s="30">
        <f t="shared" si="28"/>
        <v>16404200</v>
      </c>
      <c r="U33" s="30">
        <f t="shared" si="28"/>
        <v>1660000</v>
      </c>
      <c r="V33" s="30">
        <f t="shared" si="28"/>
        <v>18064200</v>
      </c>
      <c r="W33" s="23">
        <f t="shared" si="9"/>
        <v>0.90732271239072471</v>
      </c>
      <c r="X33" s="30">
        <f t="shared" si="28"/>
        <v>1660200</v>
      </c>
      <c r="Y33" s="30">
        <f>+Y34+Y35</f>
        <v>16404200</v>
      </c>
      <c r="Z33" s="23">
        <f t="shared" si="6"/>
        <v>0.82394477688466283</v>
      </c>
      <c r="AA33" s="31">
        <f>+AA34+AA35</f>
        <v>1660000</v>
      </c>
      <c r="AB33" s="44"/>
      <c r="AC33" s="44"/>
      <c r="AD33" s="44"/>
      <c r="AE33" s="44"/>
      <c r="AF33" s="44"/>
      <c r="AG33" s="44"/>
    </row>
    <row r="34" spans="1:33" s="44" customFormat="1" ht="19.899999999999999" customHeight="1" x14ac:dyDescent="0.2">
      <c r="A34" s="45" t="s">
        <v>89</v>
      </c>
      <c r="B34" s="46" t="s">
        <v>90</v>
      </c>
      <c r="C34" s="36">
        <v>7963740</v>
      </c>
      <c r="D34" s="55">
        <v>0</v>
      </c>
      <c r="E34" s="55">
        <v>0</v>
      </c>
      <c r="F34" s="38">
        <v>0</v>
      </c>
      <c r="G34" s="39">
        <v>0</v>
      </c>
      <c r="H34" s="38">
        <f>+C34+D34-E34+F34-G34</f>
        <v>7963740</v>
      </c>
      <c r="I34" s="38">
        <f>'[1]CDP-RPNOV'!G78</f>
        <v>664200</v>
      </c>
      <c r="J34" s="38">
        <v>0</v>
      </c>
      <c r="K34" s="38">
        <f>+I34-J34+'[1]OCTUBRE f,'!K34</f>
        <v>7227900</v>
      </c>
      <c r="L34" s="40">
        <f t="shared" si="26"/>
        <v>0.90760120245010512</v>
      </c>
      <c r="M34" s="38">
        <f>+H34-K34</f>
        <v>735840</v>
      </c>
      <c r="N34" s="38">
        <f>I34</f>
        <v>664200</v>
      </c>
      <c r="O34" s="38">
        <v>0</v>
      </c>
      <c r="P34" s="38">
        <f>+N34-O34+'[1]OCTUBRE f,'!P34</f>
        <v>7227900</v>
      </c>
      <c r="Q34" s="40">
        <f t="shared" si="4"/>
        <v>0.90760120245010512</v>
      </c>
      <c r="R34" s="38">
        <f>+H34-P34</f>
        <v>735840</v>
      </c>
      <c r="S34" s="40">
        <f t="shared" si="5"/>
        <v>9.2398797549894898E-2</v>
      </c>
      <c r="T34" s="38">
        <f>'[1]OCTUBRE f,'!V34</f>
        <v>6563700</v>
      </c>
      <c r="U34" s="41">
        <v>664200</v>
      </c>
      <c r="V34" s="41">
        <f t="shared" si="21"/>
        <v>7227900</v>
      </c>
      <c r="W34" s="42">
        <f t="shared" si="9"/>
        <v>0.90760120245010512</v>
      </c>
      <c r="X34" s="41">
        <v>664300</v>
      </c>
      <c r="Y34" s="38">
        <f>+X34+'[1]OCTUBRE f,'!Y34</f>
        <v>6563700</v>
      </c>
      <c r="Z34" s="40">
        <f t="shared" si="6"/>
        <v>0.82419817824288588</v>
      </c>
      <c r="AA34" s="43">
        <f>+P34-Y34</f>
        <v>664200</v>
      </c>
      <c r="AB34" s="52">
        <f>+R34-664200</f>
        <v>71640</v>
      </c>
      <c r="AC34" s="1"/>
      <c r="AD34" s="1"/>
      <c r="AE34" s="1"/>
      <c r="AF34" s="1"/>
      <c r="AG34" s="1"/>
    </row>
    <row r="35" spans="1:33" s="44" customFormat="1" ht="19.899999999999999" customHeight="1" thickBot="1" x14ac:dyDescent="0.25">
      <c r="A35" s="45" t="s">
        <v>91</v>
      </c>
      <c r="B35" s="46" t="s">
        <v>92</v>
      </c>
      <c r="C35" s="53">
        <v>11945604</v>
      </c>
      <c r="D35" s="55">
        <v>0</v>
      </c>
      <c r="E35" s="55">
        <v>0</v>
      </c>
      <c r="F35" s="38">
        <v>0</v>
      </c>
      <c r="G35" s="39">
        <v>0</v>
      </c>
      <c r="H35" s="38">
        <f>+C35+D35-E35+F35-G35</f>
        <v>11945604</v>
      </c>
      <c r="I35" s="38">
        <f>'[1]CDP-RPNOV'!G83</f>
        <v>995800</v>
      </c>
      <c r="J35" s="38">
        <v>0</v>
      </c>
      <c r="K35" s="38">
        <f>+I35-J35+'[1]OCTUBRE f,'!K35</f>
        <v>10836300</v>
      </c>
      <c r="L35" s="40">
        <f t="shared" si="26"/>
        <v>0.90713705225788499</v>
      </c>
      <c r="M35" s="38">
        <f>+H35-K35</f>
        <v>1109304</v>
      </c>
      <c r="N35" s="38">
        <f>I35</f>
        <v>995800</v>
      </c>
      <c r="O35" s="38">
        <v>0</v>
      </c>
      <c r="P35" s="38">
        <f>+N35-O35+'[1]OCTUBRE f,'!P35</f>
        <v>10836300</v>
      </c>
      <c r="Q35" s="40">
        <f t="shared" si="4"/>
        <v>0.90713705225788499</v>
      </c>
      <c r="R35" s="38">
        <f>+H35-P35</f>
        <v>1109304</v>
      </c>
      <c r="S35" s="40">
        <f t="shared" si="5"/>
        <v>9.286294774211501E-2</v>
      </c>
      <c r="T35" s="38">
        <f>'[1]OCTUBRE f,'!V35</f>
        <v>9840500</v>
      </c>
      <c r="U35" s="41">
        <v>995800</v>
      </c>
      <c r="V35" s="41">
        <f t="shared" si="21"/>
        <v>10836300</v>
      </c>
      <c r="W35" s="42">
        <f t="shared" si="9"/>
        <v>0.90713705225788499</v>
      </c>
      <c r="X35" s="41">
        <v>995900</v>
      </c>
      <c r="Y35" s="38">
        <f>+X35+'[1]OCTUBRE f,'!Y35</f>
        <v>9840500</v>
      </c>
      <c r="Z35" s="40">
        <f t="shared" si="6"/>
        <v>0.82377584256099567</v>
      </c>
      <c r="AA35" s="43">
        <f>+P35-Y35</f>
        <v>995800</v>
      </c>
      <c r="AB35" s="52">
        <f>+R35-995800</f>
        <v>113504</v>
      </c>
      <c r="AE35" s="59"/>
      <c r="AF35" s="59"/>
    </row>
    <row r="36" spans="1:33" ht="19.899999999999999" customHeight="1" x14ac:dyDescent="0.25">
      <c r="A36" s="25" t="s">
        <v>93</v>
      </c>
      <c r="B36" s="26" t="s">
        <v>94</v>
      </c>
      <c r="C36" s="21">
        <f>+C37+C41+C43</f>
        <v>91910022.609999999</v>
      </c>
      <c r="D36" s="28">
        <f>+D37+D41+D43</f>
        <v>4453725</v>
      </c>
      <c r="E36" s="28">
        <f>+E37+E41+E43</f>
        <v>0</v>
      </c>
      <c r="F36" s="27">
        <f>+F37+F41+F43</f>
        <v>0</v>
      </c>
      <c r="G36" s="29">
        <f>+G37+G41+G43</f>
        <v>0</v>
      </c>
      <c r="H36" s="30">
        <f t="shared" ref="H36:X36" si="29">+H37+H41+H43</f>
        <v>96363747.609999999</v>
      </c>
      <c r="I36" s="30">
        <f t="shared" si="29"/>
        <v>8586100</v>
      </c>
      <c r="J36" s="30">
        <f t="shared" si="29"/>
        <v>0</v>
      </c>
      <c r="K36" s="30">
        <f>+K37+K41+K43</f>
        <v>74585978</v>
      </c>
      <c r="L36" s="23">
        <f t="shared" si="26"/>
        <v>0.77400453853104356</v>
      </c>
      <c r="M36" s="30">
        <f t="shared" si="29"/>
        <v>21777769.719999999</v>
      </c>
      <c r="N36" s="30">
        <f t="shared" si="29"/>
        <v>8586100</v>
      </c>
      <c r="O36" s="30">
        <f t="shared" si="29"/>
        <v>0</v>
      </c>
      <c r="P36" s="30">
        <f>+P37+P41+P43</f>
        <v>74585978</v>
      </c>
      <c r="Q36" s="23">
        <f t="shared" si="4"/>
        <v>0.77400453853104356</v>
      </c>
      <c r="R36" s="30">
        <f t="shared" si="29"/>
        <v>21777769.609999999</v>
      </c>
      <c r="S36" s="23">
        <f t="shared" si="5"/>
        <v>0.22599546146895647</v>
      </c>
      <c r="T36" s="30">
        <f>+T37+T41+T43</f>
        <v>66019525</v>
      </c>
      <c r="U36" s="30">
        <f t="shared" si="29"/>
        <v>8150100</v>
      </c>
      <c r="V36" s="30">
        <f t="shared" si="29"/>
        <v>74169625</v>
      </c>
      <c r="W36" s="23">
        <f t="shared" si="9"/>
        <v>0.76968389917935442</v>
      </c>
      <c r="X36" s="30">
        <f t="shared" si="29"/>
        <v>8402833</v>
      </c>
      <c r="Y36" s="30">
        <f>+Y37+Y41+Y43</f>
        <v>66006978</v>
      </c>
      <c r="Z36" s="23">
        <f t="shared" si="6"/>
        <v>0.684977282817405</v>
      </c>
      <c r="AA36" s="31">
        <f>+AA37+AA41+AA43</f>
        <v>8579000</v>
      </c>
      <c r="AB36" s="44"/>
      <c r="AC36" s="44"/>
      <c r="AD36" s="44"/>
      <c r="AE36" s="59"/>
      <c r="AF36" s="59"/>
      <c r="AG36" s="44"/>
    </row>
    <row r="37" spans="1:33" ht="19.899999999999999" customHeight="1" thickBot="1" x14ac:dyDescent="0.3">
      <c r="A37" s="25" t="s">
        <v>95</v>
      </c>
      <c r="B37" s="26" t="s">
        <v>76</v>
      </c>
      <c r="C37" s="63">
        <f>+C38+C39+C40</f>
        <v>73904007</v>
      </c>
      <c r="D37" s="28">
        <f>+D38+D39+D40</f>
        <v>4445761</v>
      </c>
      <c r="E37" s="28">
        <f>+E38+E39+E40</f>
        <v>0</v>
      </c>
      <c r="F37" s="27">
        <f>+F38+F39+F40</f>
        <v>0</v>
      </c>
      <c r="G37" s="29">
        <f>+G38+G39+G40</f>
        <v>0</v>
      </c>
      <c r="H37" s="30">
        <f t="shared" ref="H37:X37" si="30">+H38+H39+H40</f>
        <v>78349768</v>
      </c>
      <c r="I37" s="30">
        <f t="shared" si="30"/>
        <v>7080700</v>
      </c>
      <c r="J37" s="30">
        <f t="shared" si="30"/>
        <v>0</v>
      </c>
      <c r="K37" s="30">
        <f>+K38+K39+K40</f>
        <v>58228078</v>
      </c>
      <c r="L37" s="23">
        <f t="shared" si="26"/>
        <v>0.74318124337011437</v>
      </c>
      <c r="M37" s="30">
        <f>+M38+M39+M40</f>
        <v>20121690</v>
      </c>
      <c r="N37" s="30">
        <f t="shared" si="30"/>
        <v>7080700</v>
      </c>
      <c r="O37" s="30">
        <f t="shared" si="30"/>
        <v>0</v>
      </c>
      <c r="P37" s="30">
        <f>+P38+P39+P40</f>
        <v>58228078</v>
      </c>
      <c r="Q37" s="23">
        <f t="shared" si="4"/>
        <v>0.74318124337011437</v>
      </c>
      <c r="R37" s="30">
        <f t="shared" si="30"/>
        <v>20121690</v>
      </c>
      <c r="S37" s="23">
        <f t="shared" si="5"/>
        <v>0.25681875662988563</v>
      </c>
      <c r="T37" s="30">
        <f>+T38+T39+T40</f>
        <v>51167025</v>
      </c>
      <c r="U37" s="30">
        <f t="shared" si="30"/>
        <v>6644700</v>
      </c>
      <c r="V37" s="30">
        <f t="shared" si="30"/>
        <v>57811725</v>
      </c>
      <c r="W37" s="23">
        <f t="shared" si="9"/>
        <v>0.73786721359532292</v>
      </c>
      <c r="X37" s="30">
        <f t="shared" si="30"/>
        <v>6897333</v>
      </c>
      <c r="Y37" s="30">
        <f>+Y38+Y39+Y40</f>
        <v>51154478</v>
      </c>
      <c r="Z37" s="23">
        <f t="shared" si="6"/>
        <v>0.65289890839242815</v>
      </c>
      <c r="AA37" s="31">
        <f>+AA38+AA39+AA40</f>
        <v>7073600</v>
      </c>
    </row>
    <row r="38" spans="1:33" s="44" customFormat="1" ht="19.899999999999999" customHeight="1" x14ac:dyDescent="0.2">
      <c r="A38" s="45" t="s">
        <v>96</v>
      </c>
      <c r="B38" s="46" t="s">
        <v>97</v>
      </c>
      <c r="C38" s="36">
        <v>18355239</v>
      </c>
      <c r="D38" s="37"/>
      <c r="E38" s="37"/>
      <c r="F38" s="38">
        <v>0</v>
      </c>
      <c r="G38" s="39">
        <v>0</v>
      </c>
      <c r="H38" s="38">
        <f>+C38+D38-E38+F38-G38</f>
        <v>18355239</v>
      </c>
      <c r="I38" s="38">
        <f>'[1]CDP-RPNOV'!G89</f>
        <v>1151300</v>
      </c>
      <c r="J38" s="38"/>
      <c r="K38" s="38">
        <f>+I38-J38+'[1]OCTUBRE f,'!K38</f>
        <v>5879325</v>
      </c>
      <c r="L38" s="40">
        <f t="shared" si="26"/>
        <v>0.32030773339426416</v>
      </c>
      <c r="M38" s="38">
        <f>+H38-K38</f>
        <v>12475914</v>
      </c>
      <c r="N38" s="38">
        <f t="shared" ref="N38:N44" si="31">I38</f>
        <v>1151300</v>
      </c>
      <c r="O38" s="38"/>
      <c r="P38" s="38">
        <f>+N38-O38+'[1]OCTUBRE f,'!P38</f>
        <v>5879325</v>
      </c>
      <c r="Q38" s="40">
        <f t="shared" si="4"/>
        <v>0.32030773339426416</v>
      </c>
      <c r="R38" s="38">
        <f>+H38-P38</f>
        <v>12475914</v>
      </c>
      <c r="S38" s="40">
        <f t="shared" si="5"/>
        <v>0.67969226660573578</v>
      </c>
      <c r="T38" s="38">
        <f>'[1]OCTUBRE f,'!V38</f>
        <v>4728025</v>
      </c>
      <c r="U38" s="41">
        <v>1151300</v>
      </c>
      <c r="V38" s="41">
        <f t="shared" si="21"/>
        <v>5879325</v>
      </c>
      <c r="W38" s="42">
        <f t="shared" si="9"/>
        <v>0.32030773339426416</v>
      </c>
      <c r="X38" s="68">
        <v>1073833</v>
      </c>
      <c r="Y38" s="38">
        <f>+X38+'[1]OCTUBRE f,'!Y38</f>
        <v>4728025</v>
      </c>
      <c r="Z38" s="40">
        <f t="shared" si="6"/>
        <v>0.25758449672052758</v>
      </c>
      <c r="AA38" s="43">
        <f>+P38-Y38</f>
        <v>1151300</v>
      </c>
      <c r="AB38" s="52">
        <f>+R38-1151300</f>
        <v>11324614</v>
      </c>
      <c r="AC38" s="1"/>
      <c r="AD38" s="1"/>
      <c r="AE38" s="1"/>
      <c r="AF38" s="1"/>
      <c r="AG38" s="1"/>
    </row>
    <row r="39" spans="1:33" s="44" customFormat="1" ht="19.899999999999999" customHeight="1" x14ac:dyDescent="0.2">
      <c r="A39" s="45" t="s">
        <v>98</v>
      </c>
      <c r="B39" s="46" t="s">
        <v>99</v>
      </c>
      <c r="C39" s="41">
        <v>19507392</v>
      </c>
      <c r="D39" s="37">
        <v>4445761</v>
      </c>
      <c r="E39" s="37"/>
      <c r="F39" s="38">
        <v>0</v>
      </c>
      <c r="G39" s="39">
        <v>0</v>
      </c>
      <c r="H39" s="38">
        <f>+C39+D39-E39+F39-G39</f>
        <v>23953153</v>
      </c>
      <c r="I39" s="38">
        <f>'[1]CDP-RPNOV'!G93</f>
        <v>3009500</v>
      </c>
      <c r="J39" s="38">
        <v>0</v>
      </c>
      <c r="K39" s="38">
        <f>+I39-J39+'[1]OCTUBRE f,'!K39</f>
        <v>21083153</v>
      </c>
      <c r="L39" s="40">
        <f t="shared" si="26"/>
        <v>0.88018278846212861</v>
      </c>
      <c r="M39" s="38">
        <f>+H39-K39</f>
        <v>2870000</v>
      </c>
      <c r="N39" s="38">
        <f t="shared" si="31"/>
        <v>3009500</v>
      </c>
      <c r="O39" s="38"/>
      <c r="P39" s="38">
        <f>+N39-O39+'[1]OCTUBRE f,'!P39</f>
        <v>21083153</v>
      </c>
      <c r="Q39" s="40">
        <f t="shared" si="4"/>
        <v>0.88018278846212861</v>
      </c>
      <c r="R39" s="41">
        <f>+H39-P39</f>
        <v>2870000</v>
      </c>
      <c r="S39" s="40">
        <f t="shared" si="5"/>
        <v>0.11981721153787145</v>
      </c>
      <c r="T39" s="38">
        <f>'[1]OCTUBRE f,'!V39</f>
        <v>18175000</v>
      </c>
      <c r="U39" s="69">
        <v>2767400</v>
      </c>
      <c r="V39" s="41">
        <f t="shared" si="21"/>
        <v>20942400</v>
      </c>
      <c r="W39" s="42">
        <f t="shared" si="9"/>
        <v>0.87430661007342125</v>
      </c>
      <c r="X39" s="41">
        <v>2903600</v>
      </c>
      <c r="Y39" s="38">
        <f>+X39+'[1]OCTUBRE f,'!Y39</f>
        <v>18080753</v>
      </c>
      <c r="Z39" s="40">
        <f t="shared" si="6"/>
        <v>0.75483812089372948</v>
      </c>
      <c r="AA39" s="56">
        <f>+P39-Y39</f>
        <v>3002400</v>
      </c>
      <c r="AB39" s="70"/>
    </row>
    <row r="40" spans="1:33" s="44" customFormat="1" ht="19.899999999999999" customHeight="1" thickBot="1" x14ac:dyDescent="0.25">
      <c r="A40" s="45" t="s">
        <v>100</v>
      </c>
      <c r="B40" s="46" t="s">
        <v>101</v>
      </c>
      <c r="C40" s="53">
        <v>36041376</v>
      </c>
      <c r="D40" s="37"/>
      <c r="E40" s="37"/>
      <c r="F40" s="38">
        <v>0</v>
      </c>
      <c r="G40" s="39">
        <v>0</v>
      </c>
      <c r="H40" s="38">
        <f>+C40+D40-E40+F40-G40</f>
        <v>36041376</v>
      </c>
      <c r="I40" s="38">
        <f>'[1]CDP-RPNOV'!G102</f>
        <v>2919900</v>
      </c>
      <c r="J40" s="38">
        <v>0</v>
      </c>
      <c r="K40" s="38">
        <f>+I40-J40+'[1]OCTUBRE f,'!K40</f>
        <v>31265600</v>
      </c>
      <c r="L40" s="40">
        <f t="shared" si="26"/>
        <v>0.86749185158746434</v>
      </c>
      <c r="M40" s="38">
        <f>+H40-K40</f>
        <v>4775776</v>
      </c>
      <c r="N40" s="38">
        <f t="shared" si="31"/>
        <v>2919900</v>
      </c>
      <c r="O40" s="38">
        <v>0</v>
      </c>
      <c r="P40" s="38">
        <f>+N40-O40+'[1]OCTUBRE f,'!P40</f>
        <v>31265600</v>
      </c>
      <c r="Q40" s="40">
        <f t="shared" si="4"/>
        <v>0.86749185158746434</v>
      </c>
      <c r="R40" s="38">
        <f>+H40-P40</f>
        <v>4775776</v>
      </c>
      <c r="S40" s="40">
        <f t="shared" si="5"/>
        <v>0.13250814841253564</v>
      </c>
      <c r="T40" s="38">
        <f>'[1]OCTUBRE f,'!V40</f>
        <v>28264000</v>
      </c>
      <c r="U40" s="41">
        <v>2726000</v>
      </c>
      <c r="V40" s="41">
        <f t="shared" si="21"/>
        <v>30990000</v>
      </c>
      <c r="W40" s="42">
        <f t="shared" si="9"/>
        <v>0.85984508471596643</v>
      </c>
      <c r="X40" s="41">
        <f>2919000+900</f>
        <v>2919900</v>
      </c>
      <c r="Y40" s="38">
        <f>+X40+'[1]OCTUBRE f,'!Y40</f>
        <v>28345700</v>
      </c>
      <c r="Z40" s="40">
        <f t="shared" si="6"/>
        <v>0.78647663174680127</v>
      </c>
      <c r="AA40" s="43">
        <f>+P40-Y40</f>
        <v>2919900</v>
      </c>
      <c r="AB40" s="71">
        <f>+R40-2919900</f>
        <v>1855876</v>
      </c>
      <c r="AC40" s="59"/>
    </row>
    <row r="41" spans="1:33" ht="19.899999999999999" customHeight="1" thickBot="1" x14ac:dyDescent="0.3">
      <c r="A41" s="25" t="s">
        <v>102</v>
      </c>
      <c r="B41" s="26" t="s">
        <v>103</v>
      </c>
      <c r="C41" s="54">
        <f>+C42</f>
        <v>2078535.61</v>
      </c>
      <c r="D41" s="28">
        <f>+D42</f>
        <v>7964</v>
      </c>
      <c r="E41" s="28">
        <f>+E42</f>
        <v>0</v>
      </c>
      <c r="F41" s="27">
        <f>+F42</f>
        <v>0</v>
      </c>
      <c r="G41" s="29">
        <f>+G42</f>
        <v>0</v>
      </c>
      <c r="H41" s="30">
        <f t="shared" ref="H41:Y41" si="32">+H42</f>
        <v>2086499.61</v>
      </c>
      <c r="I41" s="30">
        <f t="shared" si="32"/>
        <v>177600</v>
      </c>
      <c r="J41" s="30">
        <f t="shared" si="32"/>
        <v>0</v>
      </c>
      <c r="K41" s="30">
        <f t="shared" si="32"/>
        <v>1908900</v>
      </c>
      <c r="L41" s="23">
        <f t="shared" si="26"/>
        <v>0.91488155130783844</v>
      </c>
      <c r="M41" s="30">
        <f t="shared" si="32"/>
        <v>177599.72000000009</v>
      </c>
      <c r="N41" s="30">
        <f t="shared" si="32"/>
        <v>177600</v>
      </c>
      <c r="O41" s="30">
        <f t="shared" si="32"/>
        <v>0</v>
      </c>
      <c r="P41" s="30">
        <f t="shared" si="32"/>
        <v>1908900</v>
      </c>
      <c r="Q41" s="23">
        <f t="shared" si="4"/>
        <v>0.91488155130783844</v>
      </c>
      <c r="R41" s="30">
        <f t="shared" si="32"/>
        <v>177599.6100000001</v>
      </c>
      <c r="S41" s="23">
        <f t="shared" si="5"/>
        <v>8.511844869216155E-2</v>
      </c>
      <c r="T41" s="30">
        <f t="shared" si="32"/>
        <v>1731300</v>
      </c>
      <c r="U41" s="30">
        <f t="shared" si="32"/>
        <v>177600</v>
      </c>
      <c r="V41" s="30">
        <f t="shared" si="32"/>
        <v>1908900</v>
      </c>
      <c r="W41" s="23">
        <f t="shared" si="9"/>
        <v>0.91488155130783844</v>
      </c>
      <c r="X41" s="30">
        <f t="shared" si="32"/>
        <v>177600</v>
      </c>
      <c r="Y41" s="30">
        <f t="shared" si="32"/>
        <v>1731300</v>
      </c>
      <c r="Z41" s="23">
        <f t="shared" si="6"/>
        <v>0.82976291569975413</v>
      </c>
      <c r="AA41" s="31">
        <f>+AA42</f>
        <v>177600</v>
      </c>
      <c r="AB41" s="59"/>
      <c r="AC41" s="44"/>
      <c r="AD41" s="44"/>
      <c r="AE41" s="59"/>
      <c r="AF41" s="59"/>
      <c r="AG41" s="44"/>
    </row>
    <row r="42" spans="1:33" s="44" customFormat="1" ht="19.899999999999999" customHeight="1" thickBot="1" x14ac:dyDescent="0.25">
      <c r="A42" s="45" t="s">
        <v>104</v>
      </c>
      <c r="B42" s="46" t="s">
        <v>103</v>
      </c>
      <c r="C42" s="67">
        <v>2078535.61</v>
      </c>
      <c r="D42" s="55">
        <v>7964</v>
      </c>
      <c r="E42" s="55">
        <v>0</v>
      </c>
      <c r="F42" s="38">
        <v>0</v>
      </c>
      <c r="G42" s="39">
        <v>0</v>
      </c>
      <c r="H42" s="38">
        <f>+C42+D42-E42+F42-G42</f>
        <v>2086499.61</v>
      </c>
      <c r="I42" s="38">
        <f>'[1]CDP-RPNOV'!G107</f>
        <v>177600</v>
      </c>
      <c r="J42" s="38">
        <v>0</v>
      </c>
      <c r="K42" s="38">
        <f>+I42-J42+'[1]OCTUBRE f,'!K42</f>
        <v>1908900</v>
      </c>
      <c r="L42" s="40">
        <f t="shared" si="26"/>
        <v>0.91488155130783844</v>
      </c>
      <c r="M42" s="38">
        <f>+H42-K42+0.11</f>
        <v>177599.72000000009</v>
      </c>
      <c r="N42" s="38">
        <f t="shared" si="31"/>
        <v>177600</v>
      </c>
      <c r="O42" s="38">
        <v>0</v>
      </c>
      <c r="P42" s="38">
        <f>+N42-O42+'[1]OCTUBRE f,'!P42</f>
        <v>1908900</v>
      </c>
      <c r="Q42" s="40">
        <f t="shared" si="4"/>
        <v>0.91488155130783844</v>
      </c>
      <c r="R42" s="41">
        <f>+H42-P42</f>
        <v>177599.6100000001</v>
      </c>
      <c r="S42" s="40">
        <f t="shared" si="5"/>
        <v>8.511844869216155E-2</v>
      </c>
      <c r="T42" s="38">
        <f>'[1]OCTUBRE f,'!V42</f>
        <v>1731300</v>
      </c>
      <c r="U42" s="41">
        <v>177600</v>
      </c>
      <c r="V42" s="41">
        <f t="shared" si="21"/>
        <v>1908900</v>
      </c>
      <c r="W42" s="42">
        <f t="shared" si="9"/>
        <v>0.91488155130783844</v>
      </c>
      <c r="X42" s="41">
        <f>U42</f>
        <v>177600</v>
      </c>
      <c r="Y42" s="38">
        <f>+X42+'[1]OCTUBRE f,'!Y42</f>
        <v>1731300</v>
      </c>
      <c r="Z42" s="40">
        <f t="shared" si="6"/>
        <v>0.82976291569975413</v>
      </c>
      <c r="AA42" s="43">
        <f>+P42-Y42</f>
        <v>177600</v>
      </c>
      <c r="AB42" s="1"/>
      <c r="AC42" s="1"/>
      <c r="AD42" s="1"/>
      <c r="AE42" s="1"/>
      <c r="AF42" s="1"/>
      <c r="AG42" s="1"/>
    </row>
    <row r="43" spans="1:33" ht="19.899999999999999" customHeight="1" thickBot="1" x14ac:dyDescent="0.3">
      <c r="A43" s="25" t="s">
        <v>105</v>
      </c>
      <c r="B43" s="26" t="s">
        <v>106</v>
      </c>
      <c r="C43" s="54">
        <f>+C44</f>
        <v>15927480</v>
      </c>
      <c r="D43" s="28">
        <f>+D44</f>
        <v>0</v>
      </c>
      <c r="E43" s="28">
        <f>+E44</f>
        <v>0</v>
      </c>
      <c r="F43" s="27">
        <f>+F44</f>
        <v>0</v>
      </c>
      <c r="G43" s="29">
        <f>+G44</f>
        <v>0</v>
      </c>
      <c r="H43" s="30">
        <f t="shared" ref="H43:Y43" si="33">+H44</f>
        <v>15927480</v>
      </c>
      <c r="I43" s="30">
        <f t="shared" si="33"/>
        <v>1327800</v>
      </c>
      <c r="J43" s="30">
        <f t="shared" si="33"/>
        <v>0</v>
      </c>
      <c r="K43" s="30">
        <f t="shared" si="33"/>
        <v>14449000</v>
      </c>
      <c r="L43" s="23">
        <f t="shared" si="26"/>
        <v>0.90717426736684015</v>
      </c>
      <c r="M43" s="30">
        <f t="shared" si="33"/>
        <v>1478480</v>
      </c>
      <c r="N43" s="30">
        <f t="shared" si="33"/>
        <v>1327800</v>
      </c>
      <c r="O43" s="30">
        <f t="shared" si="33"/>
        <v>0</v>
      </c>
      <c r="P43" s="30">
        <f>+P44</f>
        <v>14449000</v>
      </c>
      <c r="Q43" s="23">
        <f t="shared" si="4"/>
        <v>0.90717426736684015</v>
      </c>
      <c r="R43" s="30">
        <f t="shared" si="33"/>
        <v>1478480</v>
      </c>
      <c r="S43" s="23">
        <f t="shared" si="5"/>
        <v>9.2825732633159797E-2</v>
      </c>
      <c r="T43" s="30">
        <f t="shared" si="33"/>
        <v>13121200</v>
      </c>
      <c r="U43" s="30">
        <f t="shared" si="33"/>
        <v>1327800</v>
      </c>
      <c r="V43" s="30">
        <f t="shared" si="33"/>
        <v>14449000</v>
      </c>
      <c r="W43" s="23">
        <f t="shared" si="9"/>
        <v>0.90717426736684015</v>
      </c>
      <c r="X43" s="30">
        <f t="shared" si="33"/>
        <v>1327900</v>
      </c>
      <c r="Y43" s="30">
        <f t="shared" si="33"/>
        <v>13121200</v>
      </c>
      <c r="Z43" s="23">
        <f t="shared" si="6"/>
        <v>0.82380891390226196</v>
      </c>
      <c r="AA43" s="31">
        <f>+AA44</f>
        <v>1327800</v>
      </c>
      <c r="AB43" s="72"/>
      <c r="AC43" s="72"/>
      <c r="AD43" s="72"/>
      <c r="AE43" s="44"/>
      <c r="AF43" s="44"/>
      <c r="AG43" s="44"/>
    </row>
    <row r="44" spans="1:33" s="44" customFormat="1" ht="19.899999999999999" customHeight="1" thickBot="1" x14ac:dyDescent="0.25">
      <c r="A44" s="73" t="s">
        <v>107</v>
      </c>
      <c r="B44" s="46" t="s">
        <v>106</v>
      </c>
      <c r="C44" s="67">
        <v>15927480</v>
      </c>
      <c r="D44" s="55">
        <v>0</v>
      </c>
      <c r="E44" s="55">
        <v>0</v>
      </c>
      <c r="F44" s="38">
        <v>0</v>
      </c>
      <c r="G44" s="39">
        <v>0</v>
      </c>
      <c r="H44" s="38">
        <f>+C44+D44-E44+F44-G44</f>
        <v>15927480</v>
      </c>
      <c r="I44" s="38">
        <f>'[1]CDP-RPNOV'!G111</f>
        <v>1327800</v>
      </c>
      <c r="J44" s="38">
        <v>0</v>
      </c>
      <c r="K44" s="38">
        <f>+I44-J44+'[1]OCTUBRE f,'!K44</f>
        <v>14449000</v>
      </c>
      <c r="L44" s="40">
        <f t="shared" si="26"/>
        <v>0.90717426736684015</v>
      </c>
      <c r="M44" s="38">
        <f>+H44-K44</f>
        <v>1478480</v>
      </c>
      <c r="N44" s="38">
        <f t="shared" si="31"/>
        <v>1327800</v>
      </c>
      <c r="O44" s="38">
        <v>0</v>
      </c>
      <c r="P44" s="38">
        <f>+N44-O44+'[1]OCTUBRE f,'!P44</f>
        <v>14449000</v>
      </c>
      <c r="Q44" s="40">
        <f t="shared" si="4"/>
        <v>0.90717426736684015</v>
      </c>
      <c r="R44" s="41">
        <f>+H44-P44</f>
        <v>1478480</v>
      </c>
      <c r="S44" s="40">
        <f t="shared" si="5"/>
        <v>9.2825732633159797E-2</v>
      </c>
      <c r="T44" s="38">
        <f>'[1]OCTUBRE f,'!V44</f>
        <v>13121200</v>
      </c>
      <c r="U44" s="41">
        <v>1327800</v>
      </c>
      <c r="V44" s="41">
        <f t="shared" si="21"/>
        <v>14449000</v>
      </c>
      <c r="W44" s="42">
        <f t="shared" si="9"/>
        <v>0.90717426736684015</v>
      </c>
      <c r="X44" s="41">
        <v>1327900</v>
      </c>
      <c r="Y44" s="38">
        <f>+X44+'[1]OCTUBRE f,'!Y44</f>
        <v>13121200</v>
      </c>
      <c r="Z44" s="40">
        <f t="shared" si="6"/>
        <v>0.82380891390226196</v>
      </c>
      <c r="AA44" s="43">
        <f>+P44-Y44</f>
        <v>1327800</v>
      </c>
      <c r="AB44" s="57"/>
      <c r="AC44" s="1"/>
      <c r="AD44" s="1"/>
      <c r="AE44" s="1"/>
      <c r="AF44" s="1"/>
      <c r="AG44" s="1"/>
    </row>
    <row r="45" spans="1:33" ht="19.899999999999999" customHeight="1" x14ac:dyDescent="0.25">
      <c r="A45" s="25" t="s">
        <v>108</v>
      </c>
      <c r="B45" s="26" t="s">
        <v>109</v>
      </c>
      <c r="C45" s="21">
        <f>+C46+C50</f>
        <v>208317132.38999999</v>
      </c>
      <c r="D45" s="28">
        <f>+D46+D50</f>
        <v>0</v>
      </c>
      <c r="E45" s="28">
        <f>+E46+E50</f>
        <v>0</v>
      </c>
      <c r="F45" s="27">
        <f>+F46+F50</f>
        <v>0</v>
      </c>
      <c r="G45" s="29">
        <f>+G46+G50</f>
        <v>0</v>
      </c>
      <c r="H45" s="30">
        <f t="shared" ref="H45:Y45" si="34">+H46+H50</f>
        <v>208317132.38999999</v>
      </c>
      <c r="I45" s="30">
        <f t="shared" si="34"/>
        <v>2157587</v>
      </c>
      <c r="J45" s="30">
        <f t="shared" si="34"/>
        <v>0</v>
      </c>
      <c r="K45" s="30">
        <f>+K46+K50</f>
        <v>66877549.380000003</v>
      </c>
      <c r="L45" s="23">
        <f t="shared" si="26"/>
        <v>0.3210372023305097</v>
      </c>
      <c r="M45" s="30">
        <f t="shared" si="34"/>
        <v>141439583.00999999</v>
      </c>
      <c r="N45" s="30">
        <f t="shared" si="34"/>
        <v>2157587</v>
      </c>
      <c r="O45" s="30">
        <f t="shared" si="34"/>
        <v>0</v>
      </c>
      <c r="P45" s="30">
        <f>+P46+P50</f>
        <v>66877549.380000003</v>
      </c>
      <c r="Q45" s="23">
        <f t="shared" si="4"/>
        <v>0.3210372023305097</v>
      </c>
      <c r="R45" s="30">
        <f t="shared" si="34"/>
        <v>141439583.00999999</v>
      </c>
      <c r="S45" s="23">
        <f t="shared" si="5"/>
        <v>0.6789627976694903</v>
      </c>
      <c r="T45" s="30">
        <f>+T46+T50</f>
        <v>49513754</v>
      </c>
      <c r="U45" s="30">
        <f>+U46+U50</f>
        <v>2373154</v>
      </c>
      <c r="V45" s="30">
        <f t="shared" si="34"/>
        <v>51886908</v>
      </c>
      <c r="W45" s="23">
        <f t="shared" si="9"/>
        <v>0.24907652771861394</v>
      </c>
      <c r="X45" s="30">
        <f t="shared" si="34"/>
        <v>657587</v>
      </c>
      <c r="Y45" s="30">
        <f t="shared" si="34"/>
        <v>49410741</v>
      </c>
      <c r="Z45" s="23">
        <f t="shared" si="6"/>
        <v>0.23719000176853386</v>
      </c>
      <c r="AA45" s="31">
        <f>+AA46+AA50</f>
        <v>17466808.379999999</v>
      </c>
      <c r="AB45" s="44"/>
      <c r="AC45" s="44"/>
      <c r="AD45" s="44"/>
      <c r="AE45" s="44"/>
      <c r="AF45" s="44"/>
      <c r="AG45" s="44"/>
    </row>
    <row r="46" spans="1:33" ht="19.899999999999999" customHeight="1" thickBot="1" x14ac:dyDescent="0.3">
      <c r="A46" s="25" t="s">
        <v>110</v>
      </c>
      <c r="B46" s="26" t="s">
        <v>111</v>
      </c>
      <c r="C46" s="63">
        <f>+C47+C48+C49</f>
        <v>70000000</v>
      </c>
      <c r="D46" s="28">
        <f>+D47+D48+D49</f>
        <v>0</v>
      </c>
      <c r="E46" s="28">
        <f>+E47+E48+E49</f>
        <v>0</v>
      </c>
      <c r="F46" s="27">
        <f>+F47+F48+F49</f>
        <v>0</v>
      </c>
      <c r="G46" s="29">
        <f>+G47+G48+G49</f>
        <v>0</v>
      </c>
      <c r="H46" s="30">
        <f t="shared" ref="H46:X46" si="35">+H47+H48+H49</f>
        <v>70000000</v>
      </c>
      <c r="I46" s="30">
        <f t="shared" si="35"/>
        <v>0</v>
      </c>
      <c r="J46" s="30">
        <f t="shared" si="35"/>
        <v>0</v>
      </c>
      <c r="K46" s="30">
        <f>+K47+K48+K49</f>
        <v>9500000</v>
      </c>
      <c r="L46" s="23">
        <f t="shared" si="26"/>
        <v>0.1357142857142857</v>
      </c>
      <c r="M46" s="30">
        <f t="shared" si="35"/>
        <v>60500000</v>
      </c>
      <c r="N46" s="30">
        <f t="shared" si="35"/>
        <v>0</v>
      </c>
      <c r="O46" s="30">
        <f t="shared" si="35"/>
        <v>0</v>
      </c>
      <c r="P46" s="30">
        <f>+P47+P48+P49</f>
        <v>9500000</v>
      </c>
      <c r="Q46" s="23">
        <f t="shared" si="4"/>
        <v>0.1357142857142857</v>
      </c>
      <c r="R46" s="30">
        <f t="shared" si="35"/>
        <v>60500000</v>
      </c>
      <c r="S46" s="23">
        <f t="shared" si="5"/>
        <v>0.86428571428571432</v>
      </c>
      <c r="T46" s="30">
        <f>+T47+T48+T49</f>
        <v>6692617</v>
      </c>
      <c r="U46" s="30">
        <f t="shared" si="35"/>
        <v>1349117</v>
      </c>
      <c r="V46" s="30">
        <f t="shared" si="35"/>
        <v>8041734</v>
      </c>
      <c r="W46" s="23">
        <f t="shared" si="9"/>
        <v>0.11488191428571429</v>
      </c>
      <c r="X46" s="30">
        <f t="shared" si="35"/>
        <v>0</v>
      </c>
      <c r="Y46" s="30">
        <f>+Y47+Y48+Y49</f>
        <v>6692617</v>
      </c>
      <c r="Z46" s="23">
        <f t="shared" si="6"/>
        <v>9.5608814285714286E-2</v>
      </c>
      <c r="AA46" s="31">
        <f>+AA47+AA48+AA49</f>
        <v>2807383</v>
      </c>
    </row>
    <row r="47" spans="1:33" s="44" customFormat="1" ht="19.899999999999999" customHeight="1" x14ac:dyDescent="0.25">
      <c r="A47" s="45" t="s">
        <v>112</v>
      </c>
      <c r="B47" s="46" t="s">
        <v>113</v>
      </c>
      <c r="C47" s="36">
        <v>30000000</v>
      </c>
      <c r="D47" s="55"/>
      <c r="E47" s="55">
        <v>0</v>
      </c>
      <c r="F47" s="38">
        <v>0</v>
      </c>
      <c r="G47" s="39">
        <v>0</v>
      </c>
      <c r="H47" s="38">
        <f>+C47+D47-E47+F47-G47</f>
        <v>30000000</v>
      </c>
      <c r="I47" s="38">
        <f>'[1]CDP-RPNOV'!G116</f>
        <v>0</v>
      </c>
      <c r="J47" s="38"/>
      <c r="K47" s="38">
        <f>+I47-J47+'[1]OCTUBRE f,'!K47</f>
        <v>9500000</v>
      </c>
      <c r="L47" s="40">
        <f t="shared" si="26"/>
        <v>0.31666666666666665</v>
      </c>
      <c r="M47" s="38">
        <f>+H47-K47</f>
        <v>20500000</v>
      </c>
      <c r="N47" s="38">
        <f t="shared" ref="N47:N57" si="36">I47</f>
        <v>0</v>
      </c>
      <c r="O47" s="38"/>
      <c r="P47" s="38">
        <f>+N47-O47+'[1]OCTUBRE f,'!P47</f>
        <v>9500000</v>
      </c>
      <c r="Q47" s="40">
        <f t="shared" si="4"/>
        <v>0.31666666666666665</v>
      </c>
      <c r="R47" s="38">
        <f>+H47-P47</f>
        <v>20500000</v>
      </c>
      <c r="S47" s="40">
        <f t="shared" si="5"/>
        <v>0.68333333333333335</v>
      </c>
      <c r="T47" s="38">
        <f>'[1]OCTUBRE f,'!V47</f>
        <v>6692617</v>
      </c>
      <c r="U47" s="74">
        <f>212340+1136777</f>
        <v>1349117</v>
      </c>
      <c r="V47" s="41">
        <f>+T47+U47</f>
        <v>8041734</v>
      </c>
      <c r="W47" s="40">
        <f t="shared" si="9"/>
        <v>0.26805780000000001</v>
      </c>
      <c r="X47" s="38">
        <v>0</v>
      </c>
      <c r="Y47" s="38">
        <f>+X47+'[1]OCTUBRE f,'!Y47</f>
        <v>6692617</v>
      </c>
      <c r="Z47" s="40">
        <f t="shared" si="6"/>
        <v>0.22308723333333333</v>
      </c>
      <c r="AA47" s="43">
        <f>+P47-Y47</f>
        <v>2807383</v>
      </c>
      <c r="AB47" s="52">
        <f>+R47</f>
        <v>20500000</v>
      </c>
      <c r="AC47" s="1"/>
      <c r="AD47" s="1"/>
      <c r="AE47" s="1"/>
      <c r="AF47" s="1"/>
      <c r="AG47" s="1"/>
    </row>
    <row r="48" spans="1:33" s="44" customFormat="1" ht="19.899999999999999" customHeight="1" x14ac:dyDescent="0.2">
      <c r="A48" s="45" t="s">
        <v>114</v>
      </c>
      <c r="B48" s="46" t="s">
        <v>115</v>
      </c>
      <c r="C48" s="41">
        <v>30000000</v>
      </c>
      <c r="D48" s="55"/>
      <c r="E48" s="55"/>
      <c r="F48" s="38">
        <v>0</v>
      </c>
      <c r="G48" s="39">
        <v>0</v>
      </c>
      <c r="H48" s="38">
        <f>+C48+D48-E48+F48-G48</f>
        <v>30000000</v>
      </c>
      <c r="I48" s="38">
        <f>'[1]CDP-RPNOV'!G122</f>
        <v>0</v>
      </c>
      <c r="J48" s="38">
        <v>0</v>
      </c>
      <c r="K48" s="38">
        <f>+I48-J48+'[1]OCTUBRE f,'!K48</f>
        <v>0</v>
      </c>
      <c r="L48" s="40">
        <f t="shared" si="26"/>
        <v>0</v>
      </c>
      <c r="M48" s="38">
        <f>+H48-K48</f>
        <v>30000000</v>
      </c>
      <c r="N48" s="38">
        <f t="shared" si="36"/>
        <v>0</v>
      </c>
      <c r="O48" s="38">
        <v>0</v>
      </c>
      <c r="P48" s="38">
        <f>+N48-O48+'[1]OCTUBRE f,'!P48</f>
        <v>0</v>
      </c>
      <c r="Q48" s="40">
        <f t="shared" si="4"/>
        <v>0</v>
      </c>
      <c r="R48" s="38">
        <f>+H48-P48</f>
        <v>30000000</v>
      </c>
      <c r="S48" s="40">
        <f t="shared" si="5"/>
        <v>1</v>
      </c>
      <c r="T48" s="38">
        <f>'[1]OCTUBRE f,'!V48</f>
        <v>0</v>
      </c>
      <c r="U48" s="41"/>
      <c r="V48" s="41">
        <f t="shared" si="21"/>
        <v>0</v>
      </c>
      <c r="W48" s="40">
        <f t="shared" si="9"/>
        <v>0</v>
      </c>
      <c r="X48" s="38"/>
      <c r="Y48" s="38">
        <f>+X48+'[1]OCTUBRE f,'!Y48</f>
        <v>0</v>
      </c>
      <c r="Z48" s="40">
        <f t="shared" si="6"/>
        <v>0</v>
      </c>
      <c r="AA48" s="56">
        <f>+P48-Y48</f>
        <v>0</v>
      </c>
      <c r="AB48" s="52">
        <f>+R48</f>
        <v>30000000</v>
      </c>
    </row>
    <row r="49" spans="1:33" s="44" customFormat="1" ht="19.899999999999999" customHeight="1" thickBot="1" x14ac:dyDescent="0.25">
      <c r="A49" s="45" t="s">
        <v>116</v>
      </c>
      <c r="B49" s="46" t="s">
        <v>117</v>
      </c>
      <c r="C49" s="53">
        <v>10000000</v>
      </c>
      <c r="D49" s="55"/>
      <c r="E49" s="55">
        <v>0</v>
      </c>
      <c r="F49" s="38">
        <v>0</v>
      </c>
      <c r="G49" s="39">
        <v>0</v>
      </c>
      <c r="H49" s="38">
        <f>+C49+D49-E49+F49-G49</f>
        <v>10000000</v>
      </c>
      <c r="I49" s="38">
        <f>'[1]CDP-RPNOV'!G128</f>
        <v>0</v>
      </c>
      <c r="J49" s="38">
        <v>0</v>
      </c>
      <c r="K49" s="38">
        <f>+I49-J49+'[1]OCTUBRE f,'!K49</f>
        <v>0</v>
      </c>
      <c r="L49" s="40">
        <f t="shared" si="26"/>
        <v>0</v>
      </c>
      <c r="M49" s="38">
        <f>+H49-K49</f>
        <v>10000000</v>
      </c>
      <c r="N49" s="38">
        <f t="shared" si="36"/>
        <v>0</v>
      </c>
      <c r="O49" s="38">
        <v>0</v>
      </c>
      <c r="P49" s="38">
        <f>+N49-O49+'[1]OCTUBRE f,'!P49</f>
        <v>0</v>
      </c>
      <c r="Q49" s="40">
        <f t="shared" si="4"/>
        <v>0</v>
      </c>
      <c r="R49" s="38">
        <f>+H49-P49</f>
        <v>10000000</v>
      </c>
      <c r="S49" s="40">
        <f t="shared" si="5"/>
        <v>1</v>
      </c>
      <c r="T49" s="38">
        <f>'[1]OCTUBRE f,'!V49</f>
        <v>0</v>
      </c>
      <c r="U49" s="38"/>
      <c r="V49" s="38">
        <f t="shared" si="21"/>
        <v>0</v>
      </c>
      <c r="W49" s="40">
        <f t="shared" si="9"/>
        <v>0</v>
      </c>
      <c r="X49" s="38">
        <f>+U49</f>
        <v>0</v>
      </c>
      <c r="Y49" s="38">
        <f>+X49+'[1]OCTUBRE f,'!Y49</f>
        <v>0</v>
      </c>
      <c r="Z49" s="40">
        <f t="shared" si="6"/>
        <v>0</v>
      </c>
      <c r="AA49" s="56">
        <f>+P49-Y49</f>
        <v>0</v>
      </c>
      <c r="AB49" s="52">
        <f>+R49</f>
        <v>10000000</v>
      </c>
    </row>
    <row r="50" spans="1:33" ht="19.899999999999999" customHeight="1" thickBot="1" x14ac:dyDescent="0.3">
      <c r="A50" s="25" t="s">
        <v>118</v>
      </c>
      <c r="B50" s="26" t="s">
        <v>119</v>
      </c>
      <c r="C50" s="54">
        <f>SUM(C51:C58)</f>
        <v>138317132.38999999</v>
      </c>
      <c r="D50" s="28">
        <f>SUM(D51:D58)</f>
        <v>0</v>
      </c>
      <c r="E50" s="28">
        <f>SUM(E51:E58)</f>
        <v>0</v>
      </c>
      <c r="F50" s="27">
        <f>SUM(F51:F58)</f>
        <v>0</v>
      </c>
      <c r="G50" s="29">
        <f>SUM(G51:G58)</f>
        <v>0</v>
      </c>
      <c r="H50" s="30">
        <f t="shared" ref="H50:Y50" si="37">SUM(H51:H58)</f>
        <v>138317132.38999999</v>
      </c>
      <c r="I50" s="30">
        <f t="shared" si="37"/>
        <v>2157587</v>
      </c>
      <c r="J50" s="30">
        <f t="shared" si="37"/>
        <v>0</v>
      </c>
      <c r="K50" s="30">
        <f t="shared" si="37"/>
        <v>57377549.380000003</v>
      </c>
      <c r="L50" s="23">
        <f>+K50/H50</f>
        <v>0.41482604785514099</v>
      </c>
      <c r="M50" s="30">
        <f t="shared" si="37"/>
        <v>80939583.010000005</v>
      </c>
      <c r="N50" s="30">
        <f t="shared" si="37"/>
        <v>2157587</v>
      </c>
      <c r="O50" s="30">
        <f t="shared" si="37"/>
        <v>0</v>
      </c>
      <c r="P50" s="30">
        <f t="shared" si="37"/>
        <v>57377549.380000003</v>
      </c>
      <c r="Q50" s="23">
        <f t="shared" si="4"/>
        <v>0.41482604785514099</v>
      </c>
      <c r="R50" s="30">
        <f t="shared" si="37"/>
        <v>80939583.010000005</v>
      </c>
      <c r="S50" s="23">
        <f t="shared" si="5"/>
        <v>0.58517395214485923</v>
      </c>
      <c r="T50" s="30">
        <f t="shared" si="37"/>
        <v>42821137</v>
      </c>
      <c r="U50" s="30">
        <f t="shared" si="37"/>
        <v>1024037</v>
      </c>
      <c r="V50" s="30">
        <f t="shared" si="37"/>
        <v>43845174</v>
      </c>
      <c r="W50" s="23">
        <f t="shared" si="9"/>
        <v>0.31699018944648039</v>
      </c>
      <c r="X50" s="30">
        <f t="shared" si="37"/>
        <v>657587</v>
      </c>
      <c r="Y50" s="30">
        <f t="shared" si="37"/>
        <v>42718124</v>
      </c>
      <c r="Z50" s="23">
        <f t="shared" si="6"/>
        <v>0.30884188575824195</v>
      </c>
      <c r="AA50" s="31">
        <f>SUM(AA51:AA58)</f>
        <v>14659425.379999999</v>
      </c>
      <c r="AB50" s="44"/>
      <c r="AC50" s="44"/>
      <c r="AD50" s="44"/>
      <c r="AE50" s="44"/>
      <c r="AF50" s="44"/>
      <c r="AG50" s="44"/>
    </row>
    <row r="51" spans="1:33" s="44" customFormat="1" ht="19.899999999999999" customHeight="1" x14ac:dyDescent="0.2">
      <c r="A51" s="45" t="s">
        <v>120</v>
      </c>
      <c r="B51" s="46" t="s">
        <v>121</v>
      </c>
      <c r="C51" s="36">
        <v>10000000</v>
      </c>
      <c r="D51" s="55"/>
      <c r="E51" s="55"/>
      <c r="F51" s="38">
        <v>0</v>
      </c>
      <c r="G51" s="39">
        <v>0</v>
      </c>
      <c r="H51" s="38">
        <f t="shared" ref="H51:H58" si="38">+C51+D51-E51+F51-G51</f>
        <v>10000000</v>
      </c>
      <c r="I51" s="38">
        <f>'[1]CDP-RPNOV'!G133</f>
        <v>0</v>
      </c>
      <c r="J51" s="38">
        <v>0</v>
      </c>
      <c r="K51" s="38">
        <f>+I51-J51+'[1]OCTUBRE f,'!K51</f>
        <v>1270000</v>
      </c>
      <c r="L51" s="40">
        <f t="shared" si="26"/>
        <v>0.127</v>
      </c>
      <c r="M51" s="38">
        <f t="shared" ref="M51:M58" si="39">+H51-K51</f>
        <v>8730000</v>
      </c>
      <c r="N51" s="38">
        <f t="shared" si="36"/>
        <v>0</v>
      </c>
      <c r="O51" s="38">
        <v>0</v>
      </c>
      <c r="P51" s="38">
        <f>+N51-O51+'[1]OCTUBRE f,'!P51</f>
        <v>1270000</v>
      </c>
      <c r="Q51" s="40">
        <f t="shared" si="4"/>
        <v>0.127</v>
      </c>
      <c r="R51" s="38">
        <f t="shared" ref="R51:R58" si="40">+H51-P51</f>
        <v>8730000</v>
      </c>
      <c r="S51" s="40">
        <f t="shared" si="5"/>
        <v>0.873</v>
      </c>
      <c r="T51" s="38">
        <f>'[1]OCTUBRE f,'!V51</f>
        <v>1270000</v>
      </c>
      <c r="U51" s="41"/>
      <c r="V51" s="41">
        <f t="shared" ref="V51:V58" si="41">+T51+U51</f>
        <v>1270000</v>
      </c>
      <c r="W51" s="40">
        <f t="shared" si="9"/>
        <v>0.127</v>
      </c>
      <c r="X51" s="38"/>
      <c r="Y51" s="38">
        <f>+X51+'[1]OCTUBRE f,'!Y51</f>
        <v>1270000</v>
      </c>
      <c r="Z51" s="40">
        <f t="shared" si="6"/>
        <v>0.127</v>
      </c>
      <c r="AA51" s="56">
        <f t="shared" ref="AA51:AA58" si="42">+P51-Y51</f>
        <v>0</v>
      </c>
      <c r="AB51" s="52">
        <f>+R51</f>
        <v>8730000</v>
      </c>
      <c r="AC51" s="1"/>
      <c r="AD51" s="1"/>
      <c r="AE51" s="1"/>
      <c r="AF51" s="1"/>
      <c r="AG51" s="1"/>
    </row>
    <row r="52" spans="1:33" s="44" customFormat="1" ht="19.899999999999999" customHeight="1" x14ac:dyDescent="0.2">
      <c r="A52" s="45" t="s">
        <v>122</v>
      </c>
      <c r="B52" s="46" t="s">
        <v>123</v>
      </c>
      <c r="C52" s="41">
        <v>45000000</v>
      </c>
      <c r="D52" s="55"/>
      <c r="E52" s="55"/>
      <c r="F52" s="38">
        <v>0</v>
      </c>
      <c r="G52" s="39">
        <v>0</v>
      </c>
      <c r="H52" s="38">
        <f t="shared" si="38"/>
        <v>45000000</v>
      </c>
      <c r="I52" s="38">
        <f>'[1]CDP-RPNOV'!G139</f>
        <v>0</v>
      </c>
      <c r="J52" s="38">
        <v>0</v>
      </c>
      <c r="K52" s="38">
        <f>+I52-J52+'[1]OCTUBRE f,'!K52</f>
        <v>33551358</v>
      </c>
      <c r="L52" s="40">
        <f t="shared" si="26"/>
        <v>0.74558573333333333</v>
      </c>
      <c r="M52" s="38">
        <f t="shared" si="39"/>
        <v>11448642</v>
      </c>
      <c r="N52" s="38">
        <f t="shared" si="36"/>
        <v>0</v>
      </c>
      <c r="O52" s="38">
        <v>0</v>
      </c>
      <c r="P52" s="38">
        <f>+N52-O52+'[1]OCTUBRE f,'!P52</f>
        <v>33551358</v>
      </c>
      <c r="Q52" s="40">
        <f t="shared" si="4"/>
        <v>0.74558573333333333</v>
      </c>
      <c r="R52" s="38">
        <f t="shared" si="40"/>
        <v>11448642</v>
      </c>
      <c r="S52" s="40">
        <f t="shared" si="5"/>
        <v>0.25441426666666667</v>
      </c>
      <c r="T52" s="38">
        <f>'[1]OCTUBRE f,'!V52</f>
        <v>21550013</v>
      </c>
      <c r="U52" s="41"/>
      <c r="V52" s="41">
        <f t="shared" si="41"/>
        <v>21550013</v>
      </c>
      <c r="W52" s="42">
        <f t="shared" si="9"/>
        <v>0.47888917777777779</v>
      </c>
      <c r="X52" s="41"/>
      <c r="Y52" s="38">
        <f>+X52+'[1]OCTUBRE f,'!Y52</f>
        <v>21550013</v>
      </c>
      <c r="Z52" s="40">
        <f t="shared" si="6"/>
        <v>0.47888917777777779</v>
      </c>
      <c r="AA52" s="56">
        <f t="shared" si="42"/>
        <v>12001345</v>
      </c>
      <c r="AB52" s="52">
        <f>+R52+AC52</f>
        <v>23449987</v>
      </c>
      <c r="AC52" s="59">
        <f>+AA52</f>
        <v>12001345</v>
      </c>
      <c r="AD52" s="44" t="s">
        <v>124</v>
      </c>
    </row>
    <row r="53" spans="1:33" s="44" customFormat="1" ht="36.75" customHeight="1" x14ac:dyDescent="0.2">
      <c r="A53" s="45" t="s">
        <v>125</v>
      </c>
      <c r="B53" s="46" t="s">
        <v>126</v>
      </c>
      <c r="C53" s="41">
        <v>10000000</v>
      </c>
      <c r="D53" s="55"/>
      <c r="E53" s="55"/>
      <c r="F53" s="38">
        <v>0</v>
      </c>
      <c r="G53" s="39">
        <v>0</v>
      </c>
      <c r="H53" s="38">
        <f t="shared" si="38"/>
        <v>10000000</v>
      </c>
      <c r="I53" s="38">
        <f>'[1]CDP-RPNOV'!G145</f>
        <v>1500000</v>
      </c>
      <c r="J53" s="38">
        <v>0</v>
      </c>
      <c r="K53" s="38">
        <f>+I53-J53+'[1]OCTUBRE f,'!K53</f>
        <v>7000000</v>
      </c>
      <c r="L53" s="40">
        <f t="shared" si="26"/>
        <v>0.7</v>
      </c>
      <c r="M53" s="38">
        <f t="shared" si="39"/>
        <v>3000000</v>
      </c>
      <c r="N53" s="38">
        <f t="shared" si="36"/>
        <v>1500000</v>
      </c>
      <c r="O53" s="38">
        <v>0</v>
      </c>
      <c r="P53" s="38">
        <f>+N53-O53+'[1]OCTUBRE f,'!P53</f>
        <v>7000000</v>
      </c>
      <c r="Q53" s="40">
        <f t="shared" si="4"/>
        <v>0.7</v>
      </c>
      <c r="R53" s="38">
        <f t="shared" si="40"/>
        <v>3000000</v>
      </c>
      <c r="S53" s="40">
        <f t="shared" si="5"/>
        <v>0.3</v>
      </c>
      <c r="T53" s="38">
        <f>'[1]OCTUBRE f,'!V53</f>
        <v>5102550</v>
      </c>
      <c r="U53" s="75">
        <v>366450</v>
      </c>
      <c r="V53" s="41">
        <f t="shared" si="41"/>
        <v>5469000</v>
      </c>
      <c r="W53" s="42">
        <f t="shared" si="9"/>
        <v>0.54690000000000005</v>
      </c>
      <c r="X53" s="41">
        <v>0</v>
      </c>
      <c r="Y53" s="38">
        <f>+X53+'[1]OCTUBRE f,'!Y53</f>
        <v>4341950</v>
      </c>
      <c r="Z53" s="40">
        <f t="shared" si="6"/>
        <v>0.434195</v>
      </c>
      <c r="AA53" s="56">
        <f t="shared" si="42"/>
        <v>2658050</v>
      </c>
      <c r="AB53" s="52">
        <f>+R53</f>
        <v>3000000</v>
      </c>
      <c r="AC53" s="59"/>
    </row>
    <row r="54" spans="1:33" s="44" customFormat="1" ht="19.899999999999999" customHeight="1" x14ac:dyDescent="0.2">
      <c r="A54" s="45" t="s">
        <v>127</v>
      </c>
      <c r="B54" s="46" t="s">
        <v>128</v>
      </c>
      <c r="C54" s="41">
        <v>3000000</v>
      </c>
      <c r="D54" s="55"/>
      <c r="E54" s="55">
        <v>0</v>
      </c>
      <c r="F54" s="38">
        <v>0</v>
      </c>
      <c r="G54" s="39">
        <v>0</v>
      </c>
      <c r="H54" s="38">
        <f t="shared" si="38"/>
        <v>3000000</v>
      </c>
      <c r="I54" s="38">
        <f>'[1]CDP-RPNOV'!G151</f>
        <v>246421</v>
      </c>
      <c r="J54" s="38">
        <v>0</v>
      </c>
      <c r="K54" s="38">
        <f>+I54-J54+'[1]OCTUBRE f,'!K54</f>
        <v>1986603.38</v>
      </c>
      <c r="L54" s="40">
        <f t="shared" si="26"/>
        <v>0.66220112666666664</v>
      </c>
      <c r="M54" s="38">
        <f t="shared" si="39"/>
        <v>1013396.6200000001</v>
      </c>
      <c r="N54" s="38">
        <f t="shared" si="36"/>
        <v>246421</v>
      </c>
      <c r="O54" s="38">
        <v>0</v>
      </c>
      <c r="P54" s="38">
        <f>+N54-O54+'[1]OCTUBRE f,'!P54</f>
        <v>1986603.38</v>
      </c>
      <c r="Q54" s="40">
        <f t="shared" si="4"/>
        <v>0.66220112666666664</v>
      </c>
      <c r="R54" s="38">
        <f t="shared" si="40"/>
        <v>1013396.6200000001</v>
      </c>
      <c r="S54" s="40">
        <f t="shared" si="5"/>
        <v>0.33779887333333336</v>
      </c>
      <c r="T54" s="38">
        <f>'[1]OCTUBRE f,'!V54</f>
        <v>1740152</v>
      </c>
      <c r="U54" s="41">
        <f>14134+24381+207906</f>
        <v>246421</v>
      </c>
      <c r="V54" s="41">
        <f t="shared" si="41"/>
        <v>1986573</v>
      </c>
      <c r="W54" s="42">
        <f t="shared" si="9"/>
        <v>0.66219099999999997</v>
      </c>
      <c r="X54" s="41">
        <v>246421</v>
      </c>
      <c r="Y54" s="38">
        <f>+X54+'[1]OCTUBRE f,'!Y54</f>
        <v>1986573</v>
      </c>
      <c r="Z54" s="40">
        <f t="shared" si="6"/>
        <v>0.66219099999999997</v>
      </c>
      <c r="AA54" s="56">
        <f t="shared" si="42"/>
        <v>30.379999999888241</v>
      </c>
      <c r="AB54" s="52">
        <f>+R54-300000</f>
        <v>713396.62000000011</v>
      </c>
    </row>
    <row r="55" spans="1:33" s="44" customFormat="1" ht="19.899999999999999" customHeight="1" x14ac:dyDescent="0.2">
      <c r="A55" s="45" t="s">
        <v>129</v>
      </c>
      <c r="B55" s="46" t="s">
        <v>130</v>
      </c>
      <c r="C55" s="41">
        <v>50000000</v>
      </c>
      <c r="D55" s="55"/>
      <c r="E55" s="55">
        <v>0</v>
      </c>
      <c r="F55" s="38">
        <v>0</v>
      </c>
      <c r="G55" s="39">
        <v>0</v>
      </c>
      <c r="H55" s="38">
        <f t="shared" si="38"/>
        <v>50000000</v>
      </c>
      <c r="I55" s="38">
        <f>'[1]CDP-RPNOV'!G162</f>
        <v>0</v>
      </c>
      <c r="J55" s="38">
        <v>0</v>
      </c>
      <c r="K55" s="38">
        <f>+I55-J55+'[1]OCTUBRE f,'!K55</f>
        <v>8999607</v>
      </c>
      <c r="L55" s="40">
        <f t="shared" si="26"/>
        <v>0.17999213999999999</v>
      </c>
      <c r="M55" s="38">
        <f t="shared" si="39"/>
        <v>41000393</v>
      </c>
      <c r="N55" s="38">
        <f t="shared" si="36"/>
        <v>0</v>
      </c>
      <c r="O55" s="38">
        <v>0</v>
      </c>
      <c r="P55" s="38">
        <f>+N55-O55+'[1]OCTUBRE f,'!P55</f>
        <v>8999607</v>
      </c>
      <c r="Q55" s="40">
        <f t="shared" si="4"/>
        <v>0.17999213999999999</v>
      </c>
      <c r="R55" s="38">
        <f t="shared" si="40"/>
        <v>41000393</v>
      </c>
      <c r="S55" s="40">
        <f t="shared" si="5"/>
        <v>0.82000786000000003</v>
      </c>
      <c r="T55" s="38">
        <f>'[1]OCTUBRE f,'!V55</f>
        <v>8999607</v>
      </c>
      <c r="U55" s="41"/>
      <c r="V55" s="41">
        <f t="shared" si="41"/>
        <v>8999607</v>
      </c>
      <c r="W55" s="42">
        <f t="shared" si="9"/>
        <v>0.17999213999999999</v>
      </c>
      <c r="X55" s="41"/>
      <c r="Y55" s="38">
        <f>+X55+'[1]OCTUBRE f,'!Y55</f>
        <v>8999607</v>
      </c>
      <c r="Z55" s="40">
        <f t="shared" si="6"/>
        <v>0.17999213999999999</v>
      </c>
      <c r="AA55" s="56">
        <f t="shared" si="42"/>
        <v>0</v>
      </c>
      <c r="AB55" s="52">
        <f>+R55</f>
        <v>41000393</v>
      </c>
    </row>
    <row r="56" spans="1:33" s="44" customFormat="1" ht="19.899999999999999" customHeight="1" x14ac:dyDescent="0.2">
      <c r="A56" s="45" t="s">
        <v>131</v>
      </c>
      <c r="B56" s="46" t="s">
        <v>132</v>
      </c>
      <c r="C56" s="41">
        <v>5000000</v>
      </c>
      <c r="D56" s="55"/>
      <c r="E56" s="55">
        <v>0</v>
      </c>
      <c r="F56" s="38">
        <v>0</v>
      </c>
      <c r="G56" s="39">
        <v>0</v>
      </c>
      <c r="H56" s="38">
        <f t="shared" si="38"/>
        <v>5000000</v>
      </c>
      <c r="I56" s="38">
        <f>'[1]CDP-RPNOV'!G167</f>
        <v>0</v>
      </c>
      <c r="J56" s="38">
        <v>0</v>
      </c>
      <c r="K56" s="38">
        <f>+I56-J56+'[1]OCTUBRE f,'!K56</f>
        <v>0</v>
      </c>
      <c r="L56" s="40">
        <f t="shared" si="26"/>
        <v>0</v>
      </c>
      <c r="M56" s="38">
        <f t="shared" si="39"/>
        <v>5000000</v>
      </c>
      <c r="N56" s="38">
        <f t="shared" si="36"/>
        <v>0</v>
      </c>
      <c r="O56" s="38">
        <v>0</v>
      </c>
      <c r="P56" s="38">
        <f>+N56-O56+'[1]OCTUBRE f,'!P56</f>
        <v>0</v>
      </c>
      <c r="Q56" s="40">
        <f t="shared" si="4"/>
        <v>0</v>
      </c>
      <c r="R56" s="38">
        <f t="shared" si="40"/>
        <v>5000000</v>
      </c>
      <c r="S56" s="40">
        <f t="shared" si="5"/>
        <v>1</v>
      </c>
      <c r="T56" s="38">
        <f>'[1]OCTUBRE f,'!V56</f>
        <v>0</v>
      </c>
      <c r="U56" s="41"/>
      <c r="V56" s="41">
        <f t="shared" si="41"/>
        <v>0</v>
      </c>
      <c r="W56" s="42">
        <f t="shared" si="9"/>
        <v>0</v>
      </c>
      <c r="X56" s="41"/>
      <c r="Y56" s="38">
        <f>+X56+'[1]OCTUBRE f,'!Y56</f>
        <v>0</v>
      </c>
      <c r="Z56" s="40">
        <f t="shared" si="6"/>
        <v>0</v>
      </c>
      <c r="AA56" s="56">
        <f t="shared" si="42"/>
        <v>0</v>
      </c>
    </row>
    <row r="57" spans="1:33" s="44" customFormat="1" ht="19.899999999999999" customHeight="1" x14ac:dyDescent="0.2">
      <c r="A57" s="45" t="s">
        <v>133</v>
      </c>
      <c r="B57" s="46" t="s">
        <v>134</v>
      </c>
      <c r="C57" s="41">
        <v>5000000</v>
      </c>
      <c r="D57" s="55"/>
      <c r="E57" s="55">
        <v>0</v>
      </c>
      <c r="F57" s="38">
        <v>0</v>
      </c>
      <c r="G57" s="39">
        <v>0</v>
      </c>
      <c r="H57" s="38">
        <f t="shared" si="38"/>
        <v>5000000</v>
      </c>
      <c r="I57" s="38">
        <f>'[1]CDP-RPNOV'!G172</f>
        <v>260772</v>
      </c>
      <c r="J57" s="38">
        <v>0</v>
      </c>
      <c r="K57" s="38">
        <f>+I57-J57+'[1]OCTUBRE f,'!K57</f>
        <v>2093748</v>
      </c>
      <c r="L57" s="40">
        <f t="shared" si="26"/>
        <v>0.4187496</v>
      </c>
      <c r="M57" s="38">
        <f t="shared" si="39"/>
        <v>2906252</v>
      </c>
      <c r="N57" s="38">
        <f t="shared" si="36"/>
        <v>260772</v>
      </c>
      <c r="O57" s="38">
        <v>0</v>
      </c>
      <c r="P57" s="38">
        <f>+N57-O57+'[1]OCTUBRE f,'!P57</f>
        <v>2093748</v>
      </c>
      <c r="Q57" s="40">
        <f t="shared" si="4"/>
        <v>0.4187496</v>
      </c>
      <c r="R57" s="38">
        <f t="shared" si="40"/>
        <v>2906252</v>
      </c>
      <c r="S57" s="40">
        <f t="shared" si="5"/>
        <v>0.58125039999999994</v>
      </c>
      <c r="T57" s="38">
        <f>'[1]OCTUBRE f,'!V57</f>
        <v>1832976</v>
      </c>
      <c r="U57" s="41">
        <f>250322+10450</f>
        <v>260772</v>
      </c>
      <c r="V57" s="41">
        <f t="shared" si="41"/>
        <v>2093748</v>
      </c>
      <c r="W57" s="42">
        <f t="shared" si="9"/>
        <v>0.4187496</v>
      </c>
      <c r="X57" s="41">
        <v>260772</v>
      </c>
      <c r="Y57" s="38">
        <f>+X57+'[1]OCTUBRE f,'!Y57</f>
        <v>2093748</v>
      </c>
      <c r="Z57" s="40">
        <f t="shared" si="6"/>
        <v>0.4187496</v>
      </c>
      <c r="AA57" s="56">
        <f t="shared" si="42"/>
        <v>0</v>
      </c>
      <c r="AB57" s="52">
        <f>+R57-300000</f>
        <v>2606252</v>
      </c>
    </row>
    <row r="58" spans="1:33" s="44" customFormat="1" ht="19.899999999999999" customHeight="1" thickBot="1" x14ac:dyDescent="0.25">
      <c r="A58" s="45" t="s">
        <v>135</v>
      </c>
      <c r="B58" s="46" t="s">
        <v>136</v>
      </c>
      <c r="C58" s="53">
        <v>10317132.390000001</v>
      </c>
      <c r="D58" s="55"/>
      <c r="E58" s="55"/>
      <c r="F58" s="38">
        <v>0</v>
      </c>
      <c r="G58" s="39">
        <v>0</v>
      </c>
      <c r="H58" s="38">
        <f t="shared" si="38"/>
        <v>10317132.390000001</v>
      </c>
      <c r="I58" s="38">
        <v>150394</v>
      </c>
      <c r="J58" s="38">
        <v>0</v>
      </c>
      <c r="K58" s="38">
        <f>+I58-J58+'[1]OCTUBRE f,'!K58</f>
        <v>2476233</v>
      </c>
      <c r="L58" s="40">
        <f t="shared" si="26"/>
        <v>0.24001175000915151</v>
      </c>
      <c r="M58" s="38">
        <f t="shared" si="39"/>
        <v>7840899.3900000006</v>
      </c>
      <c r="N58" s="38">
        <v>150394</v>
      </c>
      <c r="O58" s="38">
        <v>0</v>
      </c>
      <c r="P58" s="38">
        <f>+N58-O58+'[1]OCTUBRE f,'!P58</f>
        <v>2476233</v>
      </c>
      <c r="Q58" s="40">
        <f t="shared" si="4"/>
        <v>0.24001175000915151</v>
      </c>
      <c r="R58" s="38">
        <f t="shared" si="40"/>
        <v>7840899.3900000006</v>
      </c>
      <c r="S58" s="40">
        <f t="shared" si="5"/>
        <v>0.75998824999084846</v>
      </c>
      <c r="T58" s="38">
        <f>'[1]OCTUBRE f,'!V58</f>
        <v>2325839</v>
      </c>
      <c r="U58" s="41">
        <v>150394</v>
      </c>
      <c r="V58" s="38">
        <f t="shared" si="41"/>
        <v>2476233</v>
      </c>
      <c r="W58" s="40">
        <f t="shared" si="9"/>
        <v>0.24001175000915151</v>
      </c>
      <c r="X58" s="38">
        <v>150394</v>
      </c>
      <c r="Y58" s="38">
        <f>+X58+'[1]OCTUBRE f,'!Y58</f>
        <v>2476233</v>
      </c>
      <c r="Z58" s="40">
        <f t="shared" si="6"/>
        <v>0.24001175000915151</v>
      </c>
      <c r="AA58" s="56">
        <f t="shared" si="42"/>
        <v>0</v>
      </c>
      <c r="AB58" s="52">
        <f>+R58-300000</f>
        <v>7540899.3900000006</v>
      </c>
    </row>
    <row r="59" spans="1:33" ht="19.899999999999999" customHeight="1" x14ac:dyDescent="0.25">
      <c r="A59" s="25" t="s">
        <v>137</v>
      </c>
      <c r="B59" s="26" t="s">
        <v>138</v>
      </c>
      <c r="C59" s="21">
        <f>+C60</f>
        <v>50474803</v>
      </c>
      <c r="D59" s="28">
        <f>+D60</f>
        <v>0</v>
      </c>
      <c r="E59" s="28">
        <f>+E60</f>
        <v>0</v>
      </c>
      <c r="F59" s="27">
        <f>+F60</f>
        <v>0</v>
      </c>
      <c r="G59" s="29">
        <f>+G60</f>
        <v>0</v>
      </c>
      <c r="H59" s="30">
        <f t="shared" ref="H59:Y59" si="43">+H60</f>
        <v>50474803</v>
      </c>
      <c r="I59" s="30">
        <f t="shared" si="43"/>
        <v>0</v>
      </c>
      <c r="J59" s="30">
        <f t="shared" si="43"/>
        <v>0</v>
      </c>
      <c r="K59" s="30">
        <f t="shared" si="43"/>
        <v>474803</v>
      </c>
      <c r="L59" s="23">
        <f t="shared" si="26"/>
        <v>9.4067330980964897E-3</v>
      </c>
      <c r="M59" s="30">
        <f t="shared" si="43"/>
        <v>50000000</v>
      </c>
      <c r="N59" s="30">
        <f t="shared" si="43"/>
        <v>0</v>
      </c>
      <c r="O59" s="30">
        <f t="shared" si="43"/>
        <v>0</v>
      </c>
      <c r="P59" s="30">
        <f t="shared" si="43"/>
        <v>474803</v>
      </c>
      <c r="Q59" s="23">
        <f t="shared" si="4"/>
        <v>9.4067330980964897E-3</v>
      </c>
      <c r="R59" s="30">
        <f t="shared" si="43"/>
        <v>50000000</v>
      </c>
      <c r="S59" s="23">
        <f t="shared" si="5"/>
        <v>0.99059326690190352</v>
      </c>
      <c r="T59" s="30">
        <f t="shared" si="43"/>
        <v>474803</v>
      </c>
      <c r="U59" s="30">
        <f t="shared" si="43"/>
        <v>0</v>
      </c>
      <c r="V59" s="30">
        <f t="shared" si="43"/>
        <v>474803</v>
      </c>
      <c r="W59" s="23">
        <f t="shared" si="9"/>
        <v>9.4067330980964897E-3</v>
      </c>
      <c r="X59" s="30">
        <f t="shared" si="43"/>
        <v>0</v>
      </c>
      <c r="Y59" s="30">
        <f t="shared" si="43"/>
        <v>474803</v>
      </c>
      <c r="Z59" s="23">
        <f t="shared" si="6"/>
        <v>9.4067330980964897E-3</v>
      </c>
      <c r="AA59" s="31">
        <f>+AA60</f>
        <v>0</v>
      </c>
      <c r="AB59" s="44"/>
      <c r="AC59" s="44"/>
      <c r="AD59" s="44"/>
      <c r="AE59" s="44"/>
      <c r="AF59" s="44"/>
      <c r="AG59" s="44"/>
    </row>
    <row r="60" spans="1:33" ht="19.899999999999999" customHeight="1" thickBot="1" x14ac:dyDescent="0.3">
      <c r="A60" s="25" t="s">
        <v>139</v>
      </c>
      <c r="B60" s="26" t="s">
        <v>140</v>
      </c>
      <c r="C60" s="63">
        <f>+C61+C62</f>
        <v>50474803</v>
      </c>
      <c r="D60" s="28">
        <f>+D61+D62</f>
        <v>0</v>
      </c>
      <c r="E60" s="28">
        <f>+E61+E62</f>
        <v>0</v>
      </c>
      <c r="F60" s="27">
        <f>+F61+F62</f>
        <v>0</v>
      </c>
      <c r="G60" s="29">
        <f>+G61+G62</f>
        <v>0</v>
      </c>
      <c r="H60" s="30">
        <f t="shared" ref="H60:X60" si="44">+H61+H62</f>
        <v>50474803</v>
      </c>
      <c r="I60" s="30">
        <f t="shared" si="44"/>
        <v>0</v>
      </c>
      <c r="J60" s="30">
        <f t="shared" si="44"/>
        <v>0</v>
      </c>
      <c r="K60" s="30">
        <f>+K61+K62</f>
        <v>474803</v>
      </c>
      <c r="L60" s="23">
        <f t="shared" si="26"/>
        <v>9.4067330980964897E-3</v>
      </c>
      <c r="M60" s="30">
        <f t="shared" si="44"/>
        <v>50000000</v>
      </c>
      <c r="N60" s="30">
        <f t="shared" si="44"/>
        <v>0</v>
      </c>
      <c r="O60" s="30">
        <f t="shared" si="44"/>
        <v>0</v>
      </c>
      <c r="P60" s="30">
        <f>+P61+P62</f>
        <v>474803</v>
      </c>
      <c r="Q60" s="23">
        <f t="shared" si="4"/>
        <v>9.4067330980964897E-3</v>
      </c>
      <c r="R60" s="30">
        <f t="shared" si="44"/>
        <v>50000000</v>
      </c>
      <c r="S60" s="23">
        <f t="shared" si="5"/>
        <v>0.99059326690190352</v>
      </c>
      <c r="T60" s="30">
        <f>+T61+T62</f>
        <v>474803</v>
      </c>
      <c r="U60" s="30">
        <f t="shared" si="44"/>
        <v>0</v>
      </c>
      <c r="V60" s="30">
        <f t="shared" si="44"/>
        <v>474803</v>
      </c>
      <c r="W60" s="23">
        <f t="shared" si="9"/>
        <v>9.4067330980964897E-3</v>
      </c>
      <c r="X60" s="30">
        <f t="shared" si="44"/>
        <v>0</v>
      </c>
      <c r="Y60" s="30">
        <f>+Y61+Y62</f>
        <v>474803</v>
      </c>
      <c r="Z60" s="23">
        <f t="shared" si="6"/>
        <v>9.4067330980964897E-3</v>
      </c>
      <c r="AA60" s="31">
        <f>+AA61+AA62</f>
        <v>0</v>
      </c>
    </row>
    <row r="61" spans="1:33" s="44" customFormat="1" ht="19.899999999999999" customHeight="1" x14ac:dyDescent="0.2">
      <c r="A61" s="45" t="s">
        <v>141</v>
      </c>
      <c r="B61" s="46" t="s">
        <v>142</v>
      </c>
      <c r="C61" s="36">
        <v>474803</v>
      </c>
      <c r="D61" s="55"/>
      <c r="E61" s="55">
        <v>0</v>
      </c>
      <c r="F61" s="38">
        <v>0</v>
      </c>
      <c r="G61" s="39">
        <v>0</v>
      </c>
      <c r="H61" s="38">
        <f>+C61+D61-E61+F61-G61</f>
        <v>474803</v>
      </c>
      <c r="I61" s="38">
        <f>'[1]CDP-RPNOV'!G182</f>
        <v>0</v>
      </c>
      <c r="J61" s="38">
        <v>0</v>
      </c>
      <c r="K61" s="38">
        <f>+I61-J61+'[1]OCTUBRE f,'!K61</f>
        <v>474803</v>
      </c>
      <c r="L61" s="40">
        <f t="shared" si="26"/>
        <v>1</v>
      </c>
      <c r="M61" s="38">
        <f>+H61-K61</f>
        <v>0</v>
      </c>
      <c r="N61" s="38">
        <f>I61</f>
        <v>0</v>
      </c>
      <c r="O61" s="38">
        <v>0</v>
      </c>
      <c r="P61" s="38">
        <f>+N61-O61+'[1]OCTUBRE f,'!P61</f>
        <v>474803</v>
      </c>
      <c r="Q61" s="40">
        <f t="shared" si="4"/>
        <v>1</v>
      </c>
      <c r="R61" s="38">
        <f>+H61-P61</f>
        <v>0</v>
      </c>
      <c r="S61" s="40">
        <f t="shared" si="5"/>
        <v>0</v>
      </c>
      <c r="T61" s="38">
        <f>'[1]OCTUBRE f,'!V61</f>
        <v>474803</v>
      </c>
      <c r="U61" s="38"/>
      <c r="V61" s="38">
        <f>+T61+U61</f>
        <v>474803</v>
      </c>
      <c r="W61" s="40">
        <f>+V61/H61</f>
        <v>1</v>
      </c>
      <c r="X61" s="38">
        <f>+U61</f>
        <v>0</v>
      </c>
      <c r="Y61" s="38">
        <f>+X61+'[1]OCTUBRE f,'!Y61</f>
        <v>474803</v>
      </c>
      <c r="Z61" s="40">
        <f t="shared" si="6"/>
        <v>1</v>
      </c>
      <c r="AA61" s="56">
        <f>+P61-Y61</f>
        <v>0</v>
      </c>
      <c r="AB61" s="1"/>
      <c r="AC61" s="1"/>
      <c r="AD61" s="1"/>
      <c r="AE61" s="1"/>
      <c r="AF61" s="1"/>
      <c r="AG61" s="1"/>
    </row>
    <row r="62" spans="1:33" s="44" customFormat="1" ht="19.899999999999999" customHeight="1" thickBot="1" x14ac:dyDescent="0.25">
      <c r="A62" s="45" t="s">
        <v>143</v>
      </c>
      <c r="B62" s="46" t="s">
        <v>144</v>
      </c>
      <c r="C62" s="53">
        <v>50000000</v>
      </c>
      <c r="D62" s="55"/>
      <c r="E62" s="55">
        <v>0</v>
      </c>
      <c r="F62" s="38">
        <v>0</v>
      </c>
      <c r="G62" s="39">
        <v>0</v>
      </c>
      <c r="H62" s="38">
        <f>+C62+D62-E62+F62-G62</f>
        <v>50000000</v>
      </c>
      <c r="I62" s="38">
        <f>'[1]CDP-RPNOV'!G187</f>
        <v>0</v>
      </c>
      <c r="J62" s="38">
        <v>0</v>
      </c>
      <c r="K62" s="38">
        <f>+I62-J62+'[1]OCTUBRE f,'!K62</f>
        <v>0</v>
      </c>
      <c r="L62" s="40">
        <f t="shared" si="26"/>
        <v>0</v>
      </c>
      <c r="M62" s="38">
        <f>+H62-K62</f>
        <v>50000000</v>
      </c>
      <c r="N62" s="38">
        <f>I62</f>
        <v>0</v>
      </c>
      <c r="O62" s="38">
        <v>0</v>
      </c>
      <c r="P62" s="38">
        <f>+N62-O62+[1]SEPTIEM!P62</f>
        <v>0</v>
      </c>
      <c r="Q62" s="40">
        <f t="shared" si="4"/>
        <v>0</v>
      </c>
      <c r="R62" s="38">
        <f>+H62-P62</f>
        <v>50000000</v>
      </c>
      <c r="S62" s="40">
        <f t="shared" si="5"/>
        <v>1</v>
      </c>
      <c r="T62" s="38">
        <f>'[1]OCTUBRE f,'!V62</f>
        <v>0</v>
      </c>
      <c r="U62" s="38"/>
      <c r="V62" s="38">
        <f>+T62+U62</f>
        <v>0</v>
      </c>
      <c r="W62" s="40">
        <f>+V62/H62</f>
        <v>0</v>
      </c>
      <c r="X62" s="38">
        <f>+U62</f>
        <v>0</v>
      </c>
      <c r="Y62" s="38">
        <f>+X62+'[1]OCTUBRE f,'!Y62</f>
        <v>0</v>
      </c>
      <c r="Z62" s="40">
        <f t="shared" si="6"/>
        <v>0</v>
      </c>
      <c r="AA62" s="56">
        <f>+P62-Y62</f>
        <v>0</v>
      </c>
      <c r="AB62" s="52">
        <f>+R62</f>
        <v>50000000</v>
      </c>
    </row>
    <row r="63" spans="1:33" ht="19.899999999999999" customHeight="1" x14ac:dyDescent="0.25">
      <c r="A63" s="25" t="s">
        <v>145</v>
      </c>
      <c r="B63" s="26" t="s">
        <v>146</v>
      </c>
      <c r="C63" s="21">
        <f>+C64</f>
        <v>2406090000</v>
      </c>
      <c r="D63" s="28">
        <f t="shared" ref="D63:S65" si="45">+D64</f>
        <v>9924590</v>
      </c>
      <c r="E63" s="28">
        <f t="shared" si="45"/>
        <v>403674713</v>
      </c>
      <c r="F63" s="27">
        <f t="shared" si="45"/>
        <v>189181153</v>
      </c>
      <c r="G63" s="27">
        <f t="shared" si="45"/>
        <v>0</v>
      </c>
      <c r="H63" s="27">
        <f>+H64</f>
        <v>2201521030</v>
      </c>
      <c r="I63" s="27">
        <f t="shared" si="45"/>
        <v>18311613</v>
      </c>
      <c r="J63" s="27">
        <f t="shared" si="45"/>
        <v>0</v>
      </c>
      <c r="K63" s="27">
        <f t="shared" si="45"/>
        <v>486223890</v>
      </c>
      <c r="L63" s="23">
        <f t="shared" si="26"/>
        <v>0.220858162776669</v>
      </c>
      <c r="M63" s="27">
        <f t="shared" si="45"/>
        <v>1715297140</v>
      </c>
      <c r="N63" s="27">
        <f t="shared" si="45"/>
        <v>18311613</v>
      </c>
      <c r="O63" s="27">
        <f t="shared" si="45"/>
        <v>0</v>
      </c>
      <c r="P63" s="27">
        <f>+P64</f>
        <v>486223890</v>
      </c>
      <c r="Q63" s="76">
        <f>+Q64</f>
        <v>1.4133331607977908</v>
      </c>
      <c r="R63" s="27">
        <f t="shared" si="45"/>
        <v>1715297140</v>
      </c>
      <c r="S63" s="27">
        <f t="shared" si="45"/>
        <v>2.3755343664385826</v>
      </c>
      <c r="T63" s="27">
        <f t="shared" ref="T63:AA65" si="46">+T64</f>
        <v>367783629</v>
      </c>
      <c r="U63" s="27">
        <f t="shared" si="46"/>
        <v>37316413</v>
      </c>
      <c r="V63" s="27">
        <f t="shared" si="46"/>
        <v>405100042</v>
      </c>
      <c r="W63" s="27">
        <f t="shared" si="46"/>
        <v>1.2141144469674965</v>
      </c>
      <c r="X63" s="27">
        <f t="shared" si="46"/>
        <v>39329353</v>
      </c>
      <c r="Y63" s="27">
        <f>+Y64</f>
        <v>388731994</v>
      </c>
      <c r="Z63" s="27">
        <f t="shared" si="46"/>
        <v>1.1645414872997544</v>
      </c>
      <c r="AA63" s="27">
        <f t="shared" si="46"/>
        <v>97491896</v>
      </c>
      <c r="AB63" s="44"/>
      <c r="AC63" s="44"/>
      <c r="AD63" s="44"/>
      <c r="AE63" s="44"/>
      <c r="AF63" s="44"/>
      <c r="AG63" s="44"/>
    </row>
    <row r="64" spans="1:33" ht="19.899999999999999" customHeight="1" x14ac:dyDescent="0.25">
      <c r="A64" s="25" t="s">
        <v>147</v>
      </c>
      <c r="B64" s="26" t="s">
        <v>146</v>
      </c>
      <c r="C64" s="27">
        <f>+C65</f>
        <v>2406090000</v>
      </c>
      <c r="D64" s="28">
        <f t="shared" si="45"/>
        <v>9924590</v>
      </c>
      <c r="E64" s="28">
        <f t="shared" si="45"/>
        <v>403674713</v>
      </c>
      <c r="F64" s="27">
        <f t="shared" si="45"/>
        <v>189181153</v>
      </c>
      <c r="G64" s="27">
        <f t="shared" si="45"/>
        <v>0</v>
      </c>
      <c r="H64" s="27">
        <f t="shared" si="45"/>
        <v>2201521030</v>
      </c>
      <c r="I64" s="27">
        <f t="shared" si="45"/>
        <v>18311613</v>
      </c>
      <c r="J64" s="27">
        <f t="shared" si="45"/>
        <v>0</v>
      </c>
      <c r="K64" s="27">
        <f t="shared" si="45"/>
        <v>486223890</v>
      </c>
      <c r="L64" s="23">
        <f t="shared" si="26"/>
        <v>0.220858162776669</v>
      </c>
      <c r="M64" s="27">
        <f t="shared" si="45"/>
        <v>1715297140</v>
      </c>
      <c r="N64" s="27">
        <f t="shared" si="45"/>
        <v>18311613</v>
      </c>
      <c r="O64" s="27">
        <f t="shared" si="45"/>
        <v>0</v>
      </c>
      <c r="P64" s="27">
        <f t="shared" si="45"/>
        <v>486223890</v>
      </c>
      <c r="Q64" s="76">
        <f t="shared" si="45"/>
        <v>1.4133331607977908</v>
      </c>
      <c r="R64" s="27">
        <f t="shared" si="45"/>
        <v>1715297140</v>
      </c>
      <c r="S64" s="27">
        <f t="shared" si="45"/>
        <v>2.3755343664385826</v>
      </c>
      <c r="T64" s="27">
        <f t="shared" si="46"/>
        <v>367783629</v>
      </c>
      <c r="U64" s="27">
        <f t="shared" si="46"/>
        <v>37316413</v>
      </c>
      <c r="V64" s="27">
        <f t="shared" si="46"/>
        <v>405100042</v>
      </c>
      <c r="W64" s="27">
        <f t="shared" si="46"/>
        <v>1.2141144469674965</v>
      </c>
      <c r="X64" s="27">
        <f t="shared" si="46"/>
        <v>39329353</v>
      </c>
      <c r="Y64" s="27">
        <f>+Y65</f>
        <v>388731994</v>
      </c>
      <c r="Z64" s="27">
        <f t="shared" si="46"/>
        <v>1.1645414872997544</v>
      </c>
      <c r="AA64" s="27">
        <f t="shared" si="46"/>
        <v>97491896</v>
      </c>
      <c r="AB64" s="57"/>
      <c r="AC64" s="57"/>
      <c r="AD64" s="57"/>
      <c r="AE64" s="57"/>
      <c r="AF64" s="57"/>
      <c r="AG64" s="57"/>
    </row>
    <row r="65" spans="1:33" ht="19.899999999999999" customHeight="1" x14ac:dyDescent="0.25">
      <c r="A65" s="25" t="s">
        <v>148</v>
      </c>
      <c r="B65" s="26" t="s">
        <v>149</v>
      </c>
      <c r="C65" s="27">
        <f>+C66</f>
        <v>2406090000</v>
      </c>
      <c r="D65" s="28">
        <f t="shared" si="45"/>
        <v>9924590</v>
      </c>
      <c r="E65" s="28">
        <f t="shared" si="45"/>
        <v>403674713</v>
      </c>
      <c r="F65" s="27">
        <f t="shared" si="45"/>
        <v>189181153</v>
      </c>
      <c r="G65" s="27">
        <f t="shared" si="45"/>
        <v>0</v>
      </c>
      <c r="H65" s="27">
        <f t="shared" si="45"/>
        <v>2201521030</v>
      </c>
      <c r="I65" s="27">
        <f t="shared" si="45"/>
        <v>18311613</v>
      </c>
      <c r="J65" s="27">
        <f t="shared" si="45"/>
        <v>0</v>
      </c>
      <c r="K65" s="27">
        <f t="shared" si="45"/>
        <v>486223890</v>
      </c>
      <c r="L65" s="23">
        <f t="shared" si="26"/>
        <v>0.220858162776669</v>
      </c>
      <c r="M65" s="27">
        <f t="shared" si="45"/>
        <v>1715297140</v>
      </c>
      <c r="N65" s="27">
        <f t="shared" si="45"/>
        <v>18311613</v>
      </c>
      <c r="O65" s="27">
        <f t="shared" si="45"/>
        <v>0</v>
      </c>
      <c r="P65" s="27">
        <f t="shared" si="45"/>
        <v>486223890</v>
      </c>
      <c r="Q65" s="76">
        <f t="shared" si="45"/>
        <v>1.4133331607977908</v>
      </c>
      <c r="R65" s="27">
        <f t="shared" si="45"/>
        <v>1715297140</v>
      </c>
      <c r="S65" s="27">
        <f t="shared" si="45"/>
        <v>2.3755343664385826</v>
      </c>
      <c r="T65" s="27">
        <f t="shared" si="46"/>
        <v>367783629</v>
      </c>
      <c r="U65" s="27">
        <f t="shared" si="46"/>
        <v>37316413</v>
      </c>
      <c r="V65" s="27">
        <f t="shared" si="46"/>
        <v>405100042</v>
      </c>
      <c r="W65" s="27">
        <f t="shared" si="46"/>
        <v>1.2141144469674965</v>
      </c>
      <c r="X65" s="27">
        <f t="shared" si="46"/>
        <v>39329353</v>
      </c>
      <c r="Y65" s="27">
        <f t="shared" si="46"/>
        <v>388731994</v>
      </c>
      <c r="Z65" s="27">
        <f t="shared" si="46"/>
        <v>1.1645414872997544</v>
      </c>
      <c r="AA65" s="27">
        <f t="shared" si="46"/>
        <v>97491896</v>
      </c>
    </row>
    <row r="66" spans="1:33" ht="19.899999999999999" customHeight="1" thickBot="1" x14ac:dyDescent="0.3">
      <c r="A66" s="25" t="s">
        <v>150</v>
      </c>
      <c r="B66" s="26" t="s">
        <v>151</v>
      </c>
      <c r="C66" s="63">
        <f>+C67+C68+C69</f>
        <v>2406090000</v>
      </c>
      <c r="D66" s="77">
        <f>+D67+D68+D69</f>
        <v>9924590</v>
      </c>
      <c r="E66" s="77">
        <f>+E67+E68+E69</f>
        <v>403674713</v>
      </c>
      <c r="F66" s="63">
        <f>+F67+F68+F69</f>
        <v>189181153</v>
      </c>
      <c r="G66" s="63">
        <f t="shared" ref="G66:AA66" si="47">+G67+G68+G69</f>
        <v>0</v>
      </c>
      <c r="H66" s="63">
        <f t="shared" si="47"/>
        <v>2201521030</v>
      </c>
      <c r="I66" s="63">
        <f t="shared" si="47"/>
        <v>18311613</v>
      </c>
      <c r="J66" s="63">
        <f t="shared" si="47"/>
        <v>0</v>
      </c>
      <c r="K66" s="63">
        <f t="shared" si="47"/>
        <v>486223890</v>
      </c>
      <c r="L66" s="23">
        <f t="shared" si="26"/>
        <v>0.220858162776669</v>
      </c>
      <c r="M66" s="63">
        <f t="shared" si="47"/>
        <v>1715297140</v>
      </c>
      <c r="N66" s="63">
        <f t="shared" si="47"/>
        <v>18311613</v>
      </c>
      <c r="O66" s="63">
        <f t="shared" si="47"/>
        <v>0</v>
      </c>
      <c r="P66" s="63">
        <f>+P67+P68+P69</f>
        <v>486223890</v>
      </c>
      <c r="Q66" s="78">
        <f t="shared" si="47"/>
        <v>1.4133331607977908</v>
      </c>
      <c r="R66" s="63">
        <f t="shared" si="47"/>
        <v>1715297140</v>
      </c>
      <c r="S66" s="63">
        <f t="shared" si="47"/>
        <v>2.3755343664385826</v>
      </c>
      <c r="T66" s="63">
        <f t="shared" si="47"/>
        <v>367783629</v>
      </c>
      <c r="U66" s="63">
        <f t="shared" si="47"/>
        <v>37316413</v>
      </c>
      <c r="V66" s="63">
        <f t="shared" si="47"/>
        <v>405100042</v>
      </c>
      <c r="W66" s="63">
        <f t="shared" si="47"/>
        <v>1.2141144469674965</v>
      </c>
      <c r="X66" s="63">
        <f t="shared" si="47"/>
        <v>39329353</v>
      </c>
      <c r="Y66" s="63">
        <f>+Y67+Y68+Y69</f>
        <v>388731994</v>
      </c>
      <c r="Z66" s="63">
        <f t="shared" si="47"/>
        <v>1.1645414872997544</v>
      </c>
      <c r="AA66" s="63">
        <f t="shared" si="47"/>
        <v>97491896</v>
      </c>
    </row>
    <row r="67" spans="1:33" s="44" customFormat="1" ht="19.899999999999999" customHeight="1" x14ac:dyDescent="0.2">
      <c r="A67" s="45" t="s">
        <v>152</v>
      </c>
      <c r="B67" s="66" t="s">
        <v>153</v>
      </c>
      <c r="C67" s="36">
        <v>106090000</v>
      </c>
      <c r="D67" s="37">
        <v>9924590</v>
      </c>
      <c r="E67" s="55"/>
      <c r="F67" s="38"/>
      <c r="G67" s="39">
        <v>0</v>
      </c>
      <c r="H67" s="38">
        <f>+C67+D67-E67+F67-G67</f>
        <v>116014590</v>
      </c>
      <c r="I67" s="38">
        <f>'[1]CDP-RPNOV'!G196</f>
        <v>2381964</v>
      </c>
      <c r="J67" s="38">
        <v>0</v>
      </c>
      <c r="K67" s="38">
        <v>111090148</v>
      </c>
      <c r="L67" s="40">
        <f t="shared" si="26"/>
        <v>0.95755325256935353</v>
      </c>
      <c r="M67" s="38">
        <f>+H67-K67</f>
        <v>4924442</v>
      </c>
      <c r="N67" s="38">
        <f>I67</f>
        <v>2381964</v>
      </c>
      <c r="O67" s="38">
        <v>0</v>
      </c>
      <c r="P67" s="38">
        <v>111090148</v>
      </c>
      <c r="Q67" s="40">
        <f t="shared" si="4"/>
        <v>0.95755325256935353</v>
      </c>
      <c r="R67" s="38">
        <f>+H67-P67</f>
        <v>4924442</v>
      </c>
      <c r="S67" s="40">
        <f>+R67/H67</f>
        <v>4.2446747430646435E-2</v>
      </c>
      <c r="T67" s="38">
        <f>'[1]OCTUBRE f,'!V67</f>
        <v>86407970</v>
      </c>
      <c r="U67" s="41">
        <f>7951541+212340</f>
        <v>8163881</v>
      </c>
      <c r="V67" s="41">
        <f>+T67+U67</f>
        <v>94571851</v>
      </c>
      <c r="W67" s="42">
        <f t="shared" si="9"/>
        <v>0.81517204861905734</v>
      </c>
      <c r="X67" s="41">
        <v>10325701</v>
      </c>
      <c r="Y67" s="38">
        <f>+X67+'[1]OCTUBRE f,'!Y67</f>
        <v>90859970</v>
      </c>
      <c r="Z67" s="40">
        <f t="shared" si="6"/>
        <v>0.78317709867353758</v>
      </c>
      <c r="AA67" s="56">
        <f>+P67-Y67</f>
        <v>20230178</v>
      </c>
      <c r="AB67" s="52"/>
      <c r="AC67" s="1">
        <v>4000000</v>
      </c>
      <c r="AD67" s="1" t="s">
        <v>154</v>
      </c>
      <c r="AE67" s="1"/>
      <c r="AF67" s="1"/>
      <c r="AG67" s="1"/>
    </row>
    <row r="68" spans="1:33" s="44" customFormat="1" ht="19.899999999999999" customHeight="1" thickBot="1" x14ac:dyDescent="0.25">
      <c r="A68" s="45" t="s">
        <v>155</v>
      </c>
      <c r="B68" s="66" t="s">
        <v>156</v>
      </c>
      <c r="C68" s="53">
        <v>720000000</v>
      </c>
      <c r="D68" s="37">
        <v>0</v>
      </c>
      <c r="E68" s="37">
        <v>0</v>
      </c>
      <c r="F68" s="38">
        <v>0</v>
      </c>
      <c r="G68" s="39">
        <v>0</v>
      </c>
      <c r="H68" s="38">
        <f>+C68+D68-E68+F68-G68</f>
        <v>720000000</v>
      </c>
      <c r="I68" s="38">
        <f>'[1]CDP-RPNOV'!G212</f>
        <v>6825157</v>
      </c>
      <c r="J68" s="38"/>
      <c r="K68" s="38">
        <f>+I68-J68+'[1]OCTUBRE f,'!K68</f>
        <v>275768579</v>
      </c>
      <c r="L68" s="40">
        <v>0</v>
      </c>
      <c r="M68" s="38">
        <f>+H68-K68</f>
        <v>444231421</v>
      </c>
      <c r="N68" s="38">
        <f>I68</f>
        <v>6825157</v>
      </c>
      <c r="O68" s="38"/>
      <c r="P68" s="38">
        <f>+N68-O68+'[1]OCTUBRE f,'!P68</f>
        <v>275768579</v>
      </c>
      <c r="Q68" s="40">
        <f t="shared" si="4"/>
        <v>0.38301191527777778</v>
      </c>
      <c r="R68" s="38">
        <f>+H68-P68</f>
        <v>444231421</v>
      </c>
      <c r="S68" s="40">
        <f>+R68/H68</f>
        <v>0.61698808472222222</v>
      </c>
      <c r="T68" s="38">
        <f>'[1]OCTUBRE f,'!V68</f>
        <v>248498905</v>
      </c>
      <c r="U68" s="41">
        <v>12762254</v>
      </c>
      <c r="V68" s="41">
        <f>+T68+U68</f>
        <v>261261159</v>
      </c>
      <c r="W68" s="42">
        <f t="shared" si="9"/>
        <v>0.36286272083333332</v>
      </c>
      <c r="X68" s="41">
        <f>12576186+37188</f>
        <v>12613374</v>
      </c>
      <c r="Y68" s="38">
        <f>+X68+'[1]OCTUBRE f,'!Y68</f>
        <v>248604992</v>
      </c>
      <c r="Z68" s="40">
        <f>+Y68/H68</f>
        <v>0.34528471111111109</v>
      </c>
      <c r="AA68" s="79">
        <f>+P68-Y68</f>
        <v>27163587</v>
      </c>
      <c r="AB68" s="80">
        <f>+R68-45000000</f>
        <v>399231421</v>
      </c>
      <c r="AC68" s="81"/>
      <c r="AD68" s="81"/>
      <c r="AE68" s="81"/>
      <c r="AF68" s="81"/>
    </row>
    <row r="69" spans="1:33" ht="19.899999999999999" customHeight="1" thickBot="1" x14ac:dyDescent="0.3">
      <c r="A69" s="25" t="s">
        <v>157</v>
      </c>
      <c r="B69" s="82" t="s">
        <v>158</v>
      </c>
      <c r="C69" s="54">
        <f>SUM(C70:C72)</f>
        <v>1580000000</v>
      </c>
      <c r="D69" s="28">
        <f t="shared" ref="D69:K69" si="48">SUM(D70:D72)</f>
        <v>0</v>
      </c>
      <c r="E69" s="28">
        <f t="shared" si="48"/>
        <v>403674713</v>
      </c>
      <c r="F69" s="27">
        <f t="shared" si="48"/>
        <v>189181153</v>
      </c>
      <c r="G69" s="27">
        <f t="shared" si="48"/>
        <v>0</v>
      </c>
      <c r="H69" s="27">
        <f t="shared" si="48"/>
        <v>1365506440</v>
      </c>
      <c r="I69" s="27">
        <f t="shared" si="48"/>
        <v>9104492</v>
      </c>
      <c r="J69" s="27">
        <f t="shared" si="48"/>
        <v>0</v>
      </c>
      <c r="K69" s="27">
        <f t="shared" si="48"/>
        <v>99365163</v>
      </c>
      <c r="L69" s="23">
        <f t="shared" ref="L69:L74" si="49">+K69/H69</f>
        <v>7.2767992950659388E-2</v>
      </c>
      <c r="M69" s="27">
        <f>SUM(M70:M72)</f>
        <v>1266141277</v>
      </c>
      <c r="N69" s="27">
        <f>SUM(N70:N72)</f>
        <v>9104492</v>
      </c>
      <c r="O69" s="27">
        <f>SUM(O70:O72)</f>
        <v>0</v>
      </c>
      <c r="P69" s="27">
        <f>SUM(P70:P72)</f>
        <v>99365163</v>
      </c>
      <c r="Q69" s="23">
        <f>+P69/H69</f>
        <v>7.2767992950659388E-2</v>
      </c>
      <c r="R69" s="27">
        <f>SUM(R70:R72)</f>
        <v>1266141277</v>
      </c>
      <c r="S69" s="23">
        <f>SUM(S70:S72)</f>
        <v>1.7160995342857142</v>
      </c>
      <c r="T69" s="27">
        <f>SUM(T70:T72)</f>
        <v>32876754</v>
      </c>
      <c r="U69" s="27">
        <f>SUM(U70:U72)</f>
        <v>16390278</v>
      </c>
      <c r="V69" s="27">
        <f>SUM(V70:V72)</f>
        <v>49267032</v>
      </c>
      <c r="W69" s="23">
        <f t="shared" si="9"/>
        <v>3.6079677515105678E-2</v>
      </c>
      <c r="X69" s="27">
        <f>SUM(X70:X72)</f>
        <v>16390278</v>
      </c>
      <c r="Y69" s="27">
        <f>SUM(Y70:Y72)</f>
        <v>49267032</v>
      </c>
      <c r="Z69" s="23">
        <f>+Y69/H69</f>
        <v>3.6079677515105678E-2</v>
      </c>
      <c r="AA69" s="32">
        <f>SUM(AA70:AA72)</f>
        <v>50098131</v>
      </c>
      <c r="AB69" s="83"/>
      <c r="AC69" s="83"/>
      <c r="AD69" s="83"/>
      <c r="AE69" s="59"/>
      <c r="AF69" s="59"/>
      <c r="AG69" s="59"/>
    </row>
    <row r="70" spans="1:33" s="44" customFormat="1" ht="42.75" customHeight="1" x14ac:dyDescent="0.2">
      <c r="A70" s="84" t="s">
        <v>159</v>
      </c>
      <c r="B70" s="85" t="s">
        <v>160</v>
      </c>
      <c r="C70" s="36">
        <v>230000000</v>
      </c>
      <c r="D70" s="37">
        <v>0</v>
      </c>
      <c r="E70" s="37">
        <v>0</v>
      </c>
      <c r="F70" s="38">
        <v>0</v>
      </c>
      <c r="G70" s="39">
        <v>0</v>
      </c>
      <c r="H70" s="38">
        <f>+C70+D70-E70+F70-G70</f>
        <v>230000000</v>
      </c>
      <c r="I70" s="38">
        <f>'[1]CDP-RPNOV'!G218</f>
        <v>0</v>
      </c>
      <c r="J70" s="38">
        <v>0</v>
      </c>
      <c r="K70" s="38">
        <f>+I70-J70+'[1]OCTUBRE f,'!K70</f>
        <v>0</v>
      </c>
      <c r="L70" s="40">
        <f t="shared" si="49"/>
        <v>0</v>
      </c>
      <c r="M70" s="38">
        <f>+H70-K70</f>
        <v>230000000</v>
      </c>
      <c r="N70" s="38">
        <f>I70</f>
        <v>0</v>
      </c>
      <c r="O70" s="38"/>
      <c r="P70" s="38">
        <f>+N70-O70+'[1]OCTUBRE f,'!P70</f>
        <v>0</v>
      </c>
      <c r="Q70" s="40">
        <f t="shared" si="4"/>
        <v>0</v>
      </c>
      <c r="R70" s="38">
        <f>+H70-P70</f>
        <v>230000000</v>
      </c>
      <c r="S70" s="40">
        <f>+R70/H70</f>
        <v>1</v>
      </c>
      <c r="T70" s="38">
        <f>'[1]OCTUBRE f,'!V70</f>
        <v>0</v>
      </c>
      <c r="U70" s="38"/>
      <c r="V70" s="38">
        <f>+T70+U70</f>
        <v>0</v>
      </c>
      <c r="W70" s="40">
        <f t="shared" si="9"/>
        <v>0</v>
      </c>
      <c r="X70" s="38"/>
      <c r="Y70" s="38">
        <f>+X70+'[1]OCTUBRE f,'!Y70</f>
        <v>0</v>
      </c>
      <c r="Z70" s="40">
        <f>+Y70/H70</f>
        <v>0</v>
      </c>
      <c r="AA70" s="56">
        <f>+P70-Y70</f>
        <v>0</v>
      </c>
      <c r="AB70" s="86">
        <f>+R70</f>
        <v>230000000</v>
      </c>
      <c r="AC70" s="57"/>
      <c r="AD70" s="57"/>
      <c r="AE70" s="57"/>
      <c r="AF70" s="57"/>
      <c r="AG70" s="1"/>
    </row>
    <row r="71" spans="1:33" s="44" customFormat="1" ht="40.5" customHeight="1" x14ac:dyDescent="0.2">
      <c r="A71" s="84" t="s">
        <v>161</v>
      </c>
      <c r="B71" s="66" t="s">
        <v>162</v>
      </c>
      <c r="C71" s="41">
        <v>350000000</v>
      </c>
      <c r="D71" s="37">
        <v>0</v>
      </c>
      <c r="E71" s="37">
        <v>0</v>
      </c>
      <c r="F71" s="38">
        <v>0</v>
      </c>
      <c r="G71" s="39">
        <v>0</v>
      </c>
      <c r="H71" s="38">
        <f>+C71+D71-E71+F71-G71</f>
        <v>350000000</v>
      </c>
      <c r="I71" s="38">
        <f>'[1]CDP-RPNOV'!G246</f>
        <v>9104492</v>
      </c>
      <c r="J71" s="38"/>
      <c r="K71" s="38">
        <f>+I71-J71+'[1]OCTUBRE f,'!K71</f>
        <v>99365163</v>
      </c>
      <c r="L71" s="40">
        <f t="shared" si="49"/>
        <v>0.28390046571428573</v>
      </c>
      <c r="M71" s="38">
        <f>+H71-K71</f>
        <v>250634837</v>
      </c>
      <c r="N71" s="38">
        <f>I71</f>
        <v>9104492</v>
      </c>
      <c r="O71" s="38"/>
      <c r="P71" s="38">
        <f>+N71-O71+'[1]OCTUBRE f,'!P71</f>
        <v>99365163</v>
      </c>
      <c r="Q71" s="40">
        <f t="shared" si="4"/>
        <v>0.28390046571428573</v>
      </c>
      <c r="R71" s="38">
        <f>+H71-P71</f>
        <v>250634837</v>
      </c>
      <c r="S71" s="40">
        <f>+R71/H71</f>
        <v>0.71609953428571427</v>
      </c>
      <c r="T71" s="38">
        <f>'[1]OCTUBRE f,'!V71</f>
        <v>32876754</v>
      </c>
      <c r="U71" s="87">
        <f>4871800+11518478</f>
        <v>16390278</v>
      </c>
      <c r="V71" s="87">
        <f>+T71+U71</f>
        <v>49267032</v>
      </c>
      <c r="W71" s="42">
        <f t="shared" si="9"/>
        <v>0.14076294857142857</v>
      </c>
      <c r="X71" s="41">
        <v>16390278</v>
      </c>
      <c r="Y71" s="38">
        <f>+X71+'[1]OCTUBRE f,'!Y71</f>
        <v>49267032</v>
      </c>
      <c r="Z71" s="40">
        <f>+Y71/H71</f>
        <v>0.14076294857142857</v>
      </c>
      <c r="AA71" s="56">
        <f>+P71-Y71</f>
        <v>50098131</v>
      </c>
      <c r="AB71" s="86">
        <f>+R71-11866499</f>
        <v>238768338</v>
      </c>
      <c r="AE71" s="59"/>
      <c r="AF71" s="59"/>
    </row>
    <row r="72" spans="1:33" s="44" customFormat="1" ht="36.75" customHeight="1" thickBot="1" x14ac:dyDescent="0.25">
      <c r="A72" s="45" t="s">
        <v>163</v>
      </c>
      <c r="B72" s="46" t="s">
        <v>164</v>
      </c>
      <c r="C72" s="53">
        <v>1000000000</v>
      </c>
      <c r="D72" s="37">
        <v>0</v>
      </c>
      <c r="E72" s="55">
        <f>383674713+10075410+9924590</f>
        <v>403674713</v>
      </c>
      <c r="F72" s="38">
        <v>189181153</v>
      </c>
      <c r="G72" s="39">
        <v>0</v>
      </c>
      <c r="H72" s="38">
        <f>+C72+D72-E72+F72-G72</f>
        <v>785506440</v>
      </c>
      <c r="I72" s="38">
        <v>0</v>
      </c>
      <c r="J72" s="38">
        <v>0</v>
      </c>
      <c r="K72" s="38">
        <f>+I72-J72+'[1]OCTUBRE f,'!K72</f>
        <v>0</v>
      </c>
      <c r="L72" s="40">
        <f t="shared" si="49"/>
        <v>0</v>
      </c>
      <c r="M72" s="38">
        <f>+H72-K72</f>
        <v>785506440</v>
      </c>
      <c r="N72" s="38">
        <f>I72</f>
        <v>0</v>
      </c>
      <c r="O72" s="38">
        <v>0</v>
      </c>
      <c r="P72" s="38">
        <f>+N72-O72+'[1]OCTUBRE f,'!P72</f>
        <v>0</v>
      </c>
      <c r="Q72" s="88">
        <v>0</v>
      </c>
      <c r="R72" s="38">
        <f>+H72-P72</f>
        <v>785506440</v>
      </c>
      <c r="S72" s="40">
        <v>0</v>
      </c>
      <c r="T72" s="38">
        <f>'[1]OCTUBRE f,'!V72</f>
        <v>0</v>
      </c>
      <c r="U72" s="38"/>
      <c r="V72" s="38">
        <f>+T72+U72</f>
        <v>0</v>
      </c>
      <c r="W72" s="88">
        <v>0</v>
      </c>
      <c r="X72" s="38">
        <f>+U72</f>
        <v>0</v>
      </c>
      <c r="Y72" s="38">
        <f>+X72+'[1]OCTUBRE f,'!Y72</f>
        <v>0</v>
      </c>
      <c r="Z72" s="40">
        <v>0</v>
      </c>
      <c r="AA72" s="56">
        <f>+P72-Y72</f>
        <v>0</v>
      </c>
      <c r="AB72" s="86">
        <f>+R72</f>
        <v>785506440</v>
      </c>
      <c r="AC72" s="89"/>
      <c r="AD72" s="89"/>
    </row>
    <row r="73" spans="1:33" ht="19.899999999999999" customHeight="1" x14ac:dyDescent="0.25">
      <c r="A73" s="90">
        <v>4</v>
      </c>
      <c r="B73" s="82" t="s">
        <v>165</v>
      </c>
      <c r="C73" s="19">
        <f t="shared" ref="C73:K73" si="50">+C74</f>
        <v>0</v>
      </c>
      <c r="D73" s="28">
        <f t="shared" si="50"/>
        <v>393750123</v>
      </c>
      <c r="E73" s="28">
        <f t="shared" si="50"/>
        <v>0</v>
      </c>
      <c r="F73" s="27">
        <f t="shared" si="50"/>
        <v>156322295</v>
      </c>
      <c r="G73" s="29">
        <f t="shared" si="50"/>
        <v>0</v>
      </c>
      <c r="H73" s="27">
        <f t="shared" si="50"/>
        <v>550072418</v>
      </c>
      <c r="I73" s="27">
        <f t="shared" si="50"/>
        <v>0</v>
      </c>
      <c r="J73" s="27">
        <f t="shared" si="50"/>
        <v>0</v>
      </c>
      <c r="K73" s="27">
        <f t="shared" si="50"/>
        <v>364537909.81000006</v>
      </c>
      <c r="L73" s="23">
        <f t="shared" si="49"/>
        <v>0.66270894137069791</v>
      </c>
      <c r="M73" s="27">
        <f>+M74</f>
        <v>185534508.42000002</v>
      </c>
      <c r="N73" s="27">
        <f>+N74</f>
        <v>0</v>
      </c>
      <c r="O73" s="27">
        <f>+O74</f>
        <v>0</v>
      </c>
      <c r="P73" s="27">
        <f>+P74</f>
        <v>364537909.81000006</v>
      </c>
      <c r="Q73" s="23">
        <f>+P73/H73</f>
        <v>0.66270894137069791</v>
      </c>
      <c r="R73" s="27">
        <f>+R74</f>
        <v>185534508.19000003</v>
      </c>
      <c r="S73" s="23">
        <f>+R73/H73</f>
        <v>0.3372910586293022</v>
      </c>
      <c r="T73" s="27">
        <f>+T74</f>
        <v>143347977.22999999</v>
      </c>
      <c r="U73" s="27">
        <f>+U74</f>
        <v>173697570</v>
      </c>
      <c r="V73" s="27">
        <f>+V74</f>
        <v>317045547.23000002</v>
      </c>
      <c r="W73" s="23">
        <f>+V73/H73</f>
        <v>0.57637055932151826</v>
      </c>
      <c r="X73" s="27">
        <f>+X74</f>
        <v>0</v>
      </c>
      <c r="Y73" s="27">
        <f>+Y74</f>
        <v>143347977.65000001</v>
      </c>
      <c r="Z73" s="23">
        <f>+Y73/H73</f>
        <v>0.26059837388538176</v>
      </c>
      <c r="AA73" s="32">
        <f>+AA74</f>
        <v>221189932.34999999</v>
      </c>
      <c r="AB73" s="44"/>
      <c r="AC73" s="44"/>
      <c r="AD73" s="44"/>
      <c r="AE73" s="44"/>
      <c r="AF73" s="44"/>
      <c r="AG73" s="44"/>
    </row>
    <row r="74" spans="1:33" ht="19.899999999999999" customHeight="1" x14ac:dyDescent="0.25">
      <c r="A74" s="90" t="s">
        <v>166</v>
      </c>
      <c r="B74" s="82" t="s">
        <v>146</v>
      </c>
      <c r="C74" s="27">
        <f t="shared" ref="C74:K74" si="51">+C76</f>
        <v>0</v>
      </c>
      <c r="D74" s="28">
        <f t="shared" si="51"/>
        <v>393750123</v>
      </c>
      <c r="E74" s="28">
        <f t="shared" si="51"/>
        <v>0</v>
      </c>
      <c r="F74" s="27">
        <f t="shared" si="51"/>
        <v>156322295</v>
      </c>
      <c r="G74" s="29">
        <f t="shared" si="51"/>
        <v>0</v>
      </c>
      <c r="H74" s="27">
        <f t="shared" si="51"/>
        <v>550072418</v>
      </c>
      <c r="I74" s="27">
        <f t="shared" si="51"/>
        <v>0</v>
      </c>
      <c r="J74" s="27">
        <f t="shared" si="51"/>
        <v>0</v>
      </c>
      <c r="K74" s="27">
        <f t="shared" si="51"/>
        <v>364537909.81000006</v>
      </c>
      <c r="L74" s="23">
        <f t="shared" si="49"/>
        <v>0.66270894137069791</v>
      </c>
      <c r="M74" s="27">
        <f>+M76</f>
        <v>185534508.42000002</v>
      </c>
      <c r="N74" s="27">
        <f>+N76</f>
        <v>0</v>
      </c>
      <c r="O74" s="27">
        <f>+O76</f>
        <v>0</v>
      </c>
      <c r="P74" s="27">
        <f>+P76</f>
        <v>364537909.81000006</v>
      </c>
      <c r="Q74" s="23">
        <f>+P74/H74</f>
        <v>0.66270894137069791</v>
      </c>
      <c r="R74" s="27">
        <f>+R76</f>
        <v>185534508.19000003</v>
      </c>
      <c r="S74" s="23">
        <f>+R74/H74</f>
        <v>0.3372910586293022</v>
      </c>
      <c r="T74" s="27">
        <f>+T76</f>
        <v>143347977.22999999</v>
      </c>
      <c r="U74" s="27">
        <f>+U76</f>
        <v>173697570</v>
      </c>
      <c r="V74" s="27">
        <f>+V76</f>
        <v>317045547.23000002</v>
      </c>
      <c r="W74" s="23">
        <f>+V74/H74</f>
        <v>0.57637055932151826</v>
      </c>
      <c r="X74" s="27">
        <f>+X76</f>
        <v>0</v>
      </c>
      <c r="Y74" s="27">
        <f>+Y76</f>
        <v>143347977.65000001</v>
      </c>
      <c r="Z74" s="23">
        <f>+Y74/H74</f>
        <v>0.26059837388538176</v>
      </c>
      <c r="AA74" s="32">
        <f>+AA76</f>
        <v>221189932.34999999</v>
      </c>
      <c r="AE74" s="57"/>
      <c r="AF74" s="57"/>
    </row>
    <row r="75" spans="1:33" ht="19.899999999999999" customHeight="1" x14ac:dyDescent="0.25">
      <c r="A75" s="90" t="str">
        <f>+'[1] AGOSTO'!A75</f>
        <v>4.1.01</v>
      </c>
      <c r="B75" s="82" t="str">
        <f>+'[1] AGOSTO'!B75</f>
        <v>Otros Gastos</v>
      </c>
      <c r="C75" s="27">
        <f>+C76</f>
        <v>0</v>
      </c>
      <c r="D75" s="28"/>
      <c r="E75" s="28"/>
      <c r="F75" s="27"/>
      <c r="G75" s="29"/>
      <c r="H75" s="27"/>
      <c r="I75" s="27"/>
      <c r="J75" s="27"/>
      <c r="K75" s="27"/>
      <c r="L75" s="23"/>
      <c r="M75" s="27"/>
      <c r="N75" s="27"/>
      <c r="O75" s="27"/>
      <c r="P75" s="27"/>
      <c r="Q75" s="23"/>
      <c r="R75" s="27"/>
      <c r="S75" s="23"/>
      <c r="T75" s="27"/>
      <c r="U75" s="27"/>
      <c r="V75" s="27"/>
      <c r="W75" s="23"/>
      <c r="X75" s="27"/>
      <c r="Y75" s="27"/>
      <c r="Z75" s="23"/>
      <c r="AA75" s="32"/>
    </row>
    <row r="76" spans="1:33" ht="19.899999999999999" customHeight="1" x14ac:dyDescent="0.25">
      <c r="A76" s="91" t="s">
        <v>167</v>
      </c>
      <c r="B76" s="82" t="s">
        <v>149</v>
      </c>
      <c r="C76" s="27">
        <f>+C77</f>
        <v>0</v>
      </c>
      <c r="D76" s="28">
        <f t="shared" ref="D76:K76" si="52">+D77</f>
        <v>393750123</v>
      </c>
      <c r="E76" s="28">
        <f t="shared" si="52"/>
        <v>0</v>
      </c>
      <c r="F76" s="27">
        <f t="shared" si="52"/>
        <v>156322295</v>
      </c>
      <c r="G76" s="29">
        <f t="shared" si="52"/>
        <v>0</v>
      </c>
      <c r="H76" s="27">
        <f t="shared" si="52"/>
        <v>550072418</v>
      </c>
      <c r="I76" s="27">
        <f t="shared" si="52"/>
        <v>0</v>
      </c>
      <c r="J76" s="27">
        <f t="shared" si="52"/>
        <v>0</v>
      </c>
      <c r="K76" s="27">
        <f t="shared" si="52"/>
        <v>364537909.81000006</v>
      </c>
      <c r="L76" s="23">
        <f>+K76/H76</f>
        <v>0.66270894137069791</v>
      </c>
      <c r="M76" s="27">
        <f>+M77</f>
        <v>185534508.42000002</v>
      </c>
      <c r="N76" s="27">
        <f>+N77</f>
        <v>0</v>
      </c>
      <c r="O76" s="27">
        <f>+O77</f>
        <v>0</v>
      </c>
      <c r="P76" s="27">
        <f>+P77</f>
        <v>364537909.81000006</v>
      </c>
      <c r="Q76" s="23">
        <f>+P76/H76</f>
        <v>0.66270894137069791</v>
      </c>
      <c r="R76" s="27">
        <f>+R77</f>
        <v>185534508.19000003</v>
      </c>
      <c r="S76" s="23">
        <f>+R76/H76</f>
        <v>0.3372910586293022</v>
      </c>
      <c r="T76" s="27">
        <f>+T77</f>
        <v>143347977.22999999</v>
      </c>
      <c r="U76" s="27">
        <f>+U77</f>
        <v>173697570</v>
      </c>
      <c r="V76" s="27">
        <f>+V77</f>
        <v>317045547.23000002</v>
      </c>
      <c r="W76" s="23">
        <f>+V76/H76</f>
        <v>0.57637055932151826</v>
      </c>
      <c r="X76" s="27">
        <f>+X77</f>
        <v>0</v>
      </c>
      <c r="Y76" s="27">
        <f>+Y77</f>
        <v>143347977.65000001</v>
      </c>
      <c r="Z76" s="23">
        <f t="shared" ref="Z76:Z83" si="53">+Y76/H76</f>
        <v>0.26059837388538176</v>
      </c>
      <c r="AA76" s="32">
        <f>+AA77</f>
        <v>221189932.34999999</v>
      </c>
    </row>
    <row r="77" spans="1:33" ht="30.75" customHeight="1" x14ac:dyDescent="0.25">
      <c r="A77" s="91" t="s">
        <v>168</v>
      </c>
      <c r="B77" s="82" t="s">
        <v>151</v>
      </c>
      <c r="C77" s="27">
        <f t="shared" ref="C77:J77" si="54">SUM(C78:C83)</f>
        <v>0</v>
      </c>
      <c r="D77" s="28">
        <f>SUM(D78:D84)</f>
        <v>393750123</v>
      </c>
      <c r="E77" s="28">
        <f t="shared" si="54"/>
        <v>0</v>
      </c>
      <c r="F77" s="27">
        <f t="shared" si="54"/>
        <v>156322295</v>
      </c>
      <c r="G77" s="29">
        <f t="shared" si="54"/>
        <v>0</v>
      </c>
      <c r="H77" s="27">
        <f>SUM(H78:H84)</f>
        <v>550072418</v>
      </c>
      <c r="I77" s="27">
        <f>SUM(I78:I83)</f>
        <v>0</v>
      </c>
      <c r="J77" s="27">
        <f t="shared" si="54"/>
        <v>0</v>
      </c>
      <c r="K77" s="27">
        <f>SUM(K78:K84)</f>
        <v>364537909.81000006</v>
      </c>
      <c r="L77" s="23">
        <f>+K77/H77</f>
        <v>0.66270894137069791</v>
      </c>
      <c r="M77" s="27">
        <f>SUM(M78:M84)</f>
        <v>185534508.42000002</v>
      </c>
      <c r="N77" s="27">
        <f>SUM(N78:N83)</f>
        <v>0</v>
      </c>
      <c r="O77" s="27">
        <f>SUM(O78:O79)</f>
        <v>0</v>
      </c>
      <c r="P77" s="27">
        <f>SUM(P78:P84)</f>
        <v>364537909.81000006</v>
      </c>
      <c r="Q77" s="23">
        <f>+P77/H77</f>
        <v>0.66270894137069791</v>
      </c>
      <c r="R77" s="27">
        <f>SUM(R78:R84)</f>
        <v>185534508.19000003</v>
      </c>
      <c r="S77" s="23">
        <f>+R77/H77</f>
        <v>0.3372910586293022</v>
      </c>
      <c r="T77" s="27">
        <f>SUM(T78:T84)</f>
        <v>143347977.22999999</v>
      </c>
      <c r="U77" s="27">
        <f>SUM(U78:U83)</f>
        <v>173697570</v>
      </c>
      <c r="V77" s="27">
        <f>SUM(V78:V84)</f>
        <v>317045547.23000002</v>
      </c>
      <c r="W77" s="23">
        <f>+V77/H77</f>
        <v>0.57637055932151826</v>
      </c>
      <c r="X77" s="27">
        <f>SUM(X78:X84)</f>
        <v>0</v>
      </c>
      <c r="Y77" s="27">
        <f>SUM(Y78:Y84)</f>
        <v>143347977.65000001</v>
      </c>
      <c r="Z77" s="23">
        <f t="shared" si="53"/>
        <v>0.26059837388538176</v>
      </c>
      <c r="AA77" s="27">
        <f>SUM(AA78:AA84)</f>
        <v>221189932.34999999</v>
      </c>
      <c r="AB77" s="57"/>
      <c r="AC77" s="57"/>
      <c r="AD77" s="57"/>
    </row>
    <row r="78" spans="1:33" s="44" customFormat="1" ht="28.5" customHeight="1" x14ac:dyDescent="0.2">
      <c r="A78" s="45" t="str">
        <f>+'[1] AGOSTO'!A78</f>
        <v>4.1.01.98.98.01</v>
      </c>
      <c r="B78" s="85" t="str">
        <f>+'[1] AGOSTO'!B78</f>
        <v>Contrato inetradministrativo  - CENTRO CULTURAL Y TURISTICO LA ESTACION FASE I</v>
      </c>
      <c r="C78" s="41">
        <f>+'[1] AGOSTO'!C78</f>
        <v>0</v>
      </c>
      <c r="D78" s="37">
        <f>+'[1] AGOSTO'!D78</f>
        <v>0</v>
      </c>
      <c r="E78" s="37">
        <f>+'[1] AGOSTO'!E78</f>
        <v>0</v>
      </c>
      <c r="F78" s="41">
        <f>+'[1] AGOSTO'!F78</f>
        <v>142995079</v>
      </c>
      <c r="G78" s="41">
        <f>+'[1] AGOSTO'!G78</f>
        <v>0</v>
      </c>
      <c r="H78" s="38">
        <f t="shared" ref="H78:H83" si="55">+C78+D78-E78+F78-G78</f>
        <v>142995079</v>
      </c>
      <c r="I78" s="41">
        <v>0</v>
      </c>
      <c r="J78" s="41">
        <f>+'[1] AGOSTO'!J78</f>
        <v>0</v>
      </c>
      <c r="K78" s="38">
        <f>+I78-J78+'[1]OCTUBRE f,'!K78</f>
        <v>0</v>
      </c>
      <c r="L78" s="92">
        <f>+K78/H78</f>
        <v>0</v>
      </c>
      <c r="M78" s="41">
        <f>+'[1] AGOSTO'!M78</f>
        <v>142995079</v>
      </c>
      <c r="N78" s="38">
        <f t="shared" ref="N78:N84" si="56">I78</f>
        <v>0</v>
      </c>
      <c r="O78" s="41">
        <f>+'[1] AGOSTO'!O78</f>
        <v>0</v>
      </c>
      <c r="P78" s="38">
        <f>+N78-O78+'[1]OCTUBRE f,'!P78</f>
        <v>0</v>
      </c>
      <c r="Q78" s="41">
        <f>+'[1] AGOSTO'!Q78</f>
        <v>0</v>
      </c>
      <c r="R78" s="38">
        <f t="shared" ref="R78:R84" si="57">+H78-P78</f>
        <v>142995079</v>
      </c>
      <c r="S78" s="41">
        <f>+'[1] AGOSTO'!S78</f>
        <v>1</v>
      </c>
      <c r="T78" s="38">
        <f>'[1]OCTUBRE f,'!V78</f>
        <v>0</v>
      </c>
      <c r="U78" s="41"/>
      <c r="V78" s="38">
        <f t="shared" ref="V78:V83" si="58">+T78+U78</f>
        <v>0</v>
      </c>
      <c r="W78" s="40">
        <f>+V78/H78</f>
        <v>0</v>
      </c>
      <c r="X78" s="41"/>
      <c r="Y78" s="38">
        <f>+X78+'[1]OCTUBRE f,'!Y78</f>
        <v>0</v>
      </c>
      <c r="Z78" s="40">
        <f t="shared" si="53"/>
        <v>0</v>
      </c>
      <c r="AA78" s="56">
        <f t="shared" ref="AA78:AA84" si="59">+P78-Y78</f>
        <v>0</v>
      </c>
      <c r="AB78" s="57"/>
      <c r="AC78" s="1"/>
      <c r="AD78" s="1"/>
      <c r="AE78" s="1"/>
      <c r="AF78" s="1"/>
      <c r="AG78" s="1"/>
    </row>
    <row r="79" spans="1:33" s="44" customFormat="1" ht="38.25" customHeight="1" x14ac:dyDescent="0.2">
      <c r="A79" s="45" t="str">
        <f>+'[1] AGOSTO'!A79</f>
        <v>4.1.01.98.98.05</v>
      </c>
      <c r="B79" s="85" t="str">
        <f>+'[1] AGOSTO'!B79</f>
        <v>Contrato interadministrativo Especifico  - ARCHIPIELAGO DE SAN ANDRES Y PROVIDENCIA</v>
      </c>
      <c r="C79" s="41">
        <f>+'[1] AGOSTO'!C79</f>
        <v>0</v>
      </c>
      <c r="D79" s="37">
        <f>+'[1] AGOSTO'!D79</f>
        <v>0</v>
      </c>
      <c r="E79" s="37">
        <f>+'[1] AGOSTO'!E79</f>
        <v>0</v>
      </c>
      <c r="F79" s="41">
        <f>+'[1] AGOSTO'!F79</f>
        <v>13237050</v>
      </c>
      <c r="G79" s="41">
        <f>+'[1] AGOSTO'!G79</f>
        <v>0</v>
      </c>
      <c r="H79" s="38">
        <f t="shared" si="55"/>
        <v>13237050</v>
      </c>
      <c r="I79" s="41">
        <v>0</v>
      </c>
      <c r="J79" s="41">
        <f>+'[1] AGOSTO'!J79</f>
        <v>0</v>
      </c>
      <c r="K79" s="38">
        <f>+I79-J79+'[1]OCTUBRE f,'!K79</f>
        <v>0</v>
      </c>
      <c r="L79" s="93">
        <f>+'[1] AGOSTO'!L79</f>
        <v>0</v>
      </c>
      <c r="M79" s="41">
        <f>+'[1] AGOSTO'!M79</f>
        <v>13237050</v>
      </c>
      <c r="N79" s="38">
        <f t="shared" si="56"/>
        <v>0</v>
      </c>
      <c r="O79" s="41">
        <f>+'[1] AGOSTO'!O79</f>
        <v>0</v>
      </c>
      <c r="P79" s="38">
        <f>+N79-O79+'[1]OCTUBRE f,'!P79</f>
        <v>0</v>
      </c>
      <c r="Q79" s="93">
        <f>+'[1] AGOSTO'!Q79</f>
        <v>0</v>
      </c>
      <c r="R79" s="38">
        <f t="shared" si="57"/>
        <v>13237050</v>
      </c>
      <c r="S79" s="41">
        <f>+'[1] AGOSTO'!S79</f>
        <v>1</v>
      </c>
      <c r="T79" s="38">
        <f>'[1]OCTUBRE f,'!V79</f>
        <v>0</v>
      </c>
      <c r="U79" s="41"/>
      <c r="V79" s="38">
        <f t="shared" si="58"/>
        <v>0</v>
      </c>
      <c r="W79" s="40">
        <f t="shared" ref="W79:W84" si="60">+V79/H79</f>
        <v>0</v>
      </c>
      <c r="X79" s="41"/>
      <c r="Y79" s="38">
        <f>+X79+'[1]OCTUBRE f,'!Y79</f>
        <v>0</v>
      </c>
      <c r="Z79" s="40">
        <f t="shared" si="53"/>
        <v>0</v>
      </c>
      <c r="AA79" s="56">
        <f t="shared" si="59"/>
        <v>0</v>
      </c>
      <c r="AB79" s="57"/>
      <c r="AC79" s="83"/>
      <c r="AD79" s="83"/>
    </row>
    <row r="80" spans="1:33" s="94" customFormat="1" ht="30.75" customHeight="1" x14ac:dyDescent="0.2">
      <c r="A80" s="45" t="str">
        <f>+'[1] AGOSTO'!A80</f>
        <v>4.1.01.98.98.10</v>
      </c>
      <c r="B80" s="85" t="str">
        <f>+'[1] AGOSTO'!B80</f>
        <v>Contrato Interadministrativo Zoonosis</v>
      </c>
      <c r="C80" s="41">
        <f>+'[1] AGOSTO'!C80</f>
        <v>0</v>
      </c>
      <c r="D80" s="37">
        <f>+'[1] AGOSTO'!D80</f>
        <v>65000000</v>
      </c>
      <c r="E80" s="37">
        <f>+'[1] AGOSTO'!E80</f>
        <v>0</v>
      </c>
      <c r="F80" s="41">
        <f>+'[1] AGOSTO'!F80</f>
        <v>0</v>
      </c>
      <c r="G80" s="41">
        <f>+'[1] AGOSTO'!G80</f>
        <v>0</v>
      </c>
      <c r="H80" s="38">
        <f t="shared" si="55"/>
        <v>65000000</v>
      </c>
      <c r="I80" s="41">
        <v>0</v>
      </c>
      <c r="J80" s="41">
        <f>+'[1] AGOSTO'!J80</f>
        <v>0</v>
      </c>
      <c r="K80" s="38">
        <f>+I80-J80+'[1]OCTUBRE f,'!K80</f>
        <v>62711497.189999998</v>
      </c>
      <c r="L80" s="93">
        <f>+'[1] AGOSTO'!L80</f>
        <v>0.96479226446153843</v>
      </c>
      <c r="M80" s="41">
        <f>+'[1] AGOSTO'!M80</f>
        <v>2288502.8100000024</v>
      </c>
      <c r="N80" s="38">
        <f t="shared" si="56"/>
        <v>0</v>
      </c>
      <c r="O80" s="41">
        <f>+'[1] AGOSTO'!O80</f>
        <v>0</v>
      </c>
      <c r="P80" s="38">
        <f>+N80-O80+'[1]OCTUBRE f,'!P80</f>
        <v>62711497.189999998</v>
      </c>
      <c r="Q80" s="93">
        <f>+'[1] AGOSTO'!Q80</f>
        <v>0.96479226446153843</v>
      </c>
      <c r="R80" s="38">
        <f t="shared" si="57"/>
        <v>2288502.8100000024</v>
      </c>
      <c r="S80" s="41">
        <f>+'[1] AGOSTO'!S80</f>
        <v>3.5207735538461578E-2</v>
      </c>
      <c r="T80" s="38">
        <f>'[1]OCTUBRE f,'!V80</f>
        <v>62711497</v>
      </c>
      <c r="U80" s="87"/>
      <c r="V80" s="87">
        <f t="shared" si="58"/>
        <v>62711497</v>
      </c>
      <c r="W80" s="40">
        <f t="shared" si="60"/>
        <v>0.96479226153846154</v>
      </c>
      <c r="X80" s="41"/>
      <c r="Y80" s="38">
        <f>+X80+'[1]OCTUBRE f,'!Y80</f>
        <v>62711497</v>
      </c>
      <c r="Z80" s="40">
        <f t="shared" si="53"/>
        <v>0.96479226153846154</v>
      </c>
      <c r="AA80" s="56">
        <f t="shared" si="59"/>
        <v>0.18999999761581421</v>
      </c>
      <c r="AB80" s="57"/>
      <c r="AC80" s="44"/>
      <c r="AD80" s="44"/>
      <c r="AE80" s="44"/>
      <c r="AF80" s="44"/>
      <c r="AG80" s="44"/>
    </row>
    <row r="81" spans="1:256" s="94" customFormat="1" ht="31.5" customHeight="1" x14ac:dyDescent="0.2">
      <c r="A81" s="45" t="str">
        <f>+'[1] AGOSTO'!A81</f>
        <v>4.1.01.98.98.03.13</v>
      </c>
      <c r="B81" s="85" t="str">
        <f>+'[1] AGOSTO'!B81</f>
        <v>Contrato Interadministrativo Estudio Suelos</v>
      </c>
      <c r="C81" s="41">
        <f>+'[1] AGOSTO'!C81</f>
        <v>0</v>
      </c>
      <c r="D81" s="37">
        <f>+'[1] AGOSTO'!D81</f>
        <v>0</v>
      </c>
      <c r="E81" s="37">
        <f>+'[1] AGOSTO'!E81</f>
        <v>0</v>
      </c>
      <c r="F81" s="41">
        <f>+'[1] AGOSTO'!F81</f>
        <v>90166</v>
      </c>
      <c r="G81" s="41">
        <f>+'[1] AGOSTO'!G81</f>
        <v>0</v>
      </c>
      <c r="H81" s="38">
        <f t="shared" si="55"/>
        <v>90166</v>
      </c>
      <c r="I81" s="41">
        <v>0</v>
      </c>
      <c r="J81" s="41">
        <f>+'[1] AGOSTO'!J81</f>
        <v>0</v>
      </c>
      <c r="K81" s="38">
        <f>+I81-J81+'[1]OCTUBRE f,'!K81</f>
        <v>90166</v>
      </c>
      <c r="L81" s="93">
        <f>+'[1] AGOSTO'!L81</f>
        <v>1</v>
      </c>
      <c r="M81" s="41">
        <f>+'[1] AGOSTO'!M81</f>
        <v>0</v>
      </c>
      <c r="N81" s="38">
        <f t="shared" si="56"/>
        <v>0</v>
      </c>
      <c r="O81" s="41">
        <f>+'[1] AGOSTO'!O81</f>
        <v>0</v>
      </c>
      <c r="P81" s="38">
        <f>+N81-O81+'[1]OCTUBRE f,'!P81</f>
        <v>90166</v>
      </c>
      <c r="Q81" s="93">
        <f>+'[1] AGOSTO'!Q81</f>
        <v>1</v>
      </c>
      <c r="R81" s="38">
        <f t="shared" si="57"/>
        <v>0</v>
      </c>
      <c r="S81" s="41">
        <f>+'[1] AGOSTO'!S81</f>
        <v>0</v>
      </c>
      <c r="T81" s="38">
        <f>'[1]OCTUBRE f,'!V81</f>
        <v>90166</v>
      </c>
      <c r="U81" s="87"/>
      <c r="V81" s="87">
        <f t="shared" si="58"/>
        <v>90166</v>
      </c>
      <c r="W81" s="40">
        <f t="shared" si="60"/>
        <v>1</v>
      </c>
      <c r="X81" s="41"/>
      <c r="Y81" s="38">
        <f>+X81+'[1]OCTUBRE f,'!Y81</f>
        <v>90166</v>
      </c>
      <c r="Z81" s="40">
        <f t="shared" si="53"/>
        <v>1</v>
      </c>
      <c r="AA81" s="56">
        <f t="shared" si="59"/>
        <v>0</v>
      </c>
      <c r="AB81" s="57">
        <f>+R81</f>
        <v>0</v>
      </c>
    </row>
    <row r="82" spans="1:256" s="94" customFormat="1" ht="19.899999999999999" customHeight="1" x14ac:dyDescent="0.2">
      <c r="A82" s="45" t="str">
        <f>+'[1] AGOSTO'!A82</f>
        <v>4.1.01.98.98.03.16</v>
      </c>
      <c r="B82" s="85" t="str">
        <f>+'[1] AGOSTO'!B82</f>
        <v>Contrato Interadministrativo  /PLACITA</v>
      </c>
      <c r="C82" s="41">
        <f>+'[1] AGOSTO'!C82</f>
        <v>0</v>
      </c>
      <c r="D82" s="37">
        <f>+'[1] AGOSTO'!D82</f>
        <v>248076068</v>
      </c>
      <c r="E82" s="37">
        <f>+'[1] AGOSTO'!E82</f>
        <v>0</v>
      </c>
      <c r="F82" s="41">
        <f>+'[1] AGOSTO'!F82</f>
        <v>0</v>
      </c>
      <c r="G82" s="41">
        <f>+'[1] AGOSTO'!G82</f>
        <v>0</v>
      </c>
      <c r="H82" s="38">
        <f t="shared" si="55"/>
        <v>248076068</v>
      </c>
      <c r="I82" s="41">
        <v>0</v>
      </c>
      <c r="J82" s="41">
        <f>+'[1] AGOSTO'!J82</f>
        <v>0</v>
      </c>
      <c r="K82" s="38">
        <f>+I82-J82+'[1]OCTUBRE f,'!K82</f>
        <v>223782037.16</v>
      </c>
      <c r="L82" s="93">
        <f>+'[1] AGOSTO'!L82</f>
        <v>0.90207023581170276</v>
      </c>
      <c r="M82" s="41">
        <f>+'[1] AGOSTO'!M82</f>
        <v>24294030.840000004</v>
      </c>
      <c r="N82" s="38">
        <f t="shared" si="56"/>
        <v>0</v>
      </c>
      <c r="O82" s="41">
        <f>+'[1] AGOSTO'!O82</f>
        <v>0</v>
      </c>
      <c r="P82" s="38">
        <f>+N82-O82+'[1]OCTUBRE f,'!P82</f>
        <v>223782037.16</v>
      </c>
      <c r="Q82" s="93">
        <f>+'[1] AGOSTO'!Q82</f>
        <v>0.90207023581170276</v>
      </c>
      <c r="R82" s="38">
        <f t="shared" si="57"/>
        <v>24294030.840000004</v>
      </c>
      <c r="S82" s="41">
        <f>+'[1] AGOSTO'!S82</f>
        <v>9.7929764188297297E-2</v>
      </c>
      <c r="T82" s="38">
        <f>'[1]OCTUBRE f,'!V82</f>
        <v>2592105</v>
      </c>
      <c r="U82" s="87">
        <v>173697570</v>
      </c>
      <c r="V82" s="87">
        <f t="shared" si="58"/>
        <v>176289675</v>
      </c>
      <c r="W82" s="40">
        <f t="shared" si="60"/>
        <v>0.71062749591790531</v>
      </c>
      <c r="X82" s="41"/>
      <c r="Y82" s="38">
        <f>+X82+'[1]OCTUBRE f,'!Y82</f>
        <v>2592105</v>
      </c>
      <c r="Z82" s="40">
        <f t="shared" si="53"/>
        <v>1.0448831364095952E-2</v>
      </c>
      <c r="AA82" s="56">
        <f t="shared" si="59"/>
        <v>221189932.16</v>
      </c>
      <c r="AB82" s="57"/>
    </row>
    <row r="83" spans="1:256" s="94" customFormat="1" ht="19.899999999999999" customHeight="1" x14ac:dyDescent="0.2">
      <c r="A83" s="45" t="str">
        <f>+'[1] AGOSTO'!A83</f>
        <v>4.1.01.98.98.03.17</v>
      </c>
      <c r="B83" s="85" t="str">
        <f>+'[1] AGOSTO'!B83</f>
        <v>Contrato Interadministrativo / PARADERO DE TAXISTAS</v>
      </c>
      <c r="C83" s="41">
        <f>+'[1] AGOSTO'!C83</f>
        <v>0</v>
      </c>
      <c r="D83" s="37">
        <f>+'[1] AGOSTO'!D83</f>
        <v>70598645</v>
      </c>
      <c r="E83" s="37">
        <f>+'[1] AGOSTO'!E83</f>
        <v>0</v>
      </c>
      <c r="F83" s="41">
        <f>+'[1] AGOSTO'!F83</f>
        <v>0</v>
      </c>
      <c r="G83" s="41">
        <f>+'[1] AGOSTO'!G83</f>
        <v>0</v>
      </c>
      <c r="H83" s="38">
        <f t="shared" si="55"/>
        <v>70598645</v>
      </c>
      <c r="I83" s="41">
        <v>0</v>
      </c>
      <c r="J83" s="41">
        <f>+'[1] AGOSTO'!J83</f>
        <v>0</v>
      </c>
      <c r="K83" s="38">
        <f>+I83-J83+'[1]OCTUBRE f,'!K83</f>
        <v>67878799.230000004</v>
      </c>
      <c r="L83" s="93">
        <f>+'[1] AGOSTO'!L83</f>
        <v>0.96147453297439356</v>
      </c>
      <c r="M83" s="41">
        <f>+'[1] AGOSTO'!M83</f>
        <v>2719845.7699999958</v>
      </c>
      <c r="N83" s="38">
        <f t="shared" si="56"/>
        <v>0</v>
      </c>
      <c r="O83" s="41">
        <f>+'[1] AGOSTO'!O83</f>
        <v>0</v>
      </c>
      <c r="P83" s="38">
        <f>+N83-O83+'[1]OCTUBRE f,'!P83</f>
        <v>67878799.230000004</v>
      </c>
      <c r="Q83" s="93">
        <f>+'[1] AGOSTO'!Q83</f>
        <v>0.96147453297439356</v>
      </c>
      <c r="R83" s="38">
        <f t="shared" si="57"/>
        <v>2719845.7699999958</v>
      </c>
      <c r="S83" s="41">
        <f>+'[1] AGOSTO'!S83</f>
        <v>3.8525467025606455E-2</v>
      </c>
      <c r="T83" s="38">
        <f>'[1]OCTUBRE f,'!V83</f>
        <v>67878799</v>
      </c>
      <c r="U83" s="87"/>
      <c r="V83" s="87">
        <f t="shared" si="58"/>
        <v>67878799</v>
      </c>
      <c r="W83" s="40">
        <f t="shared" si="60"/>
        <v>0.96147452971654057</v>
      </c>
      <c r="X83" s="41">
        <v>0</v>
      </c>
      <c r="Y83" s="38">
        <f>+X83+'[1]OCTUBRE f,'!Y83</f>
        <v>67878799.420000002</v>
      </c>
      <c r="Z83" s="40">
        <f t="shared" si="53"/>
        <v>0.96147453566566332</v>
      </c>
      <c r="AA83" s="56">
        <v>0</v>
      </c>
      <c r="AB83" s="57"/>
    </row>
    <row r="84" spans="1:256" s="94" customFormat="1" ht="19.899999999999999" customHeight="1" x14ac:dyDescent="0.2">
      <c r="A84" s="95" t="s">
        <v>169</v>
      </c>
      <c r="B84" s="95" t="s">
        <v>170</v>
      </c>
      <c r="C84" s="95">
        <v>0</v>
      </c>
      <c r="D84" s="96">
        <f>H84</f>
        <v>10075410</v>
      </c>
      <c r="E84" s="96"/>
      <c r="F84" s="95"/>
      <c r="G84" s="95"/>
      <c r="H84" s="95">
        <v>10075410</v>
      </c>
      <c r="I84" s="95">
        <v>0</v>
      </c>
      <c r="J84" s="41">
        <f>+'[1] AGOSTO'!J84</f>
        <v>0</v>
      </c>
      <c r="K84" s="38">
        <f>+I84-J84+'[1]OCTUBRE f,'!K84</f>
        <v>10075410.23</v>
      </c>
      <c r="L84" s="93">
        <f>+'[1] AGOSTO'!L84</f>
        <v>0</v>
      </c>
      <c r="M84" s="41">
        <f>+'[1] AGOSTO'!M84</f>
        <v>0</v>
      </c>
      <c r="N84" s="38">
        <f t="shared" si="56"/>
        <v>0</v>
      </c>
      <c r="O84" s="95">
        <v>0</v>
      </c>
      <c r="P84" s="38">
        <f>+N84-O84+'[1]OCTUBRE f,'!P84</f>
        <v>10075410.23</v>
      </c>
      <c r="Q84" s="95">
        <v>0.96147453297439356</v>
      </c>
      <c r="R84" s="38">
        <f t="shared" si="57"/>
        <v>-0.23000000044703484</v>
      </c>
      <c r="S84" s="95">
        <v>3.8525467025606455E-2</v>
      </c>
      <c r="T84" s="38">
        <f>'[1]OCTUBRE f,'!V84</f>
        <v>10075410.23</v>
      </c>
      <c r="U84" s="95"/>
      <c r="V84" s="95">
        <v>10075410.23</v>
      </c>
      <c r="W84" s="40">
        <f t="shared" si="60"/>
        <v>1.0000000228278552</v>
      </c>
      <c r="X84" s="95"/>
      <c r="Y84" s="38">
        <f>+X84+'[1]OCTUBRE f,'!Y84</f>
        <v>10075410.23</v>
      </c>
      <c r="Z84" s="40">
        <f>+Y84/H84</f>
        <v>1.0000000228278552</v>
      </c>
      <c r="AA84" s="56">
        <f t="shared" si="59"/>
        <v>0</v>
      </c>
      <c r="AB84" s="57">
        <f>+R84</f>
        <v>-0.23000000044703484</v>
      </c>
      <c r="AH84" s="97"/>
      <c r="AI84" s="97"/>
    </row>
    <row r="85" spans="1:256" s="94" customFormat="1" ht="33.75" customHeight="1" x14ac:dyDescent="0.2">
      <c r="A85" s="98"/>
      <c r="B85" s="97"/>
      <c r="C85" s="99"/>
      <c r="D85" s="100"/>
      <c r="E85" s="100"/>
      <c r="F85" s="101"/>
      <c r="G85" s="99"/>
      <c r="H85" s="99"/>
      <c r="I85" s="99"/>
      <c r="J85" s="99"/>
      <c r="K85" s="99"/>
      <c r="L85" s="102"/>
      <c r="M85" s="99"/>
      <c r="N85" s="99"/>
      <c r="O85" s="99"/>
      <c r="P85" s="99"/>
      <c r="Q85" s="102"/>
      <c r="R85" s="99"/>
      <c r="S85" s="102"/>
      <c r="T85" s="99"/>
      <c r="U85" s="99"/>
      <c r="V85" s="99"/>
      <c r="W85" s="102"/>
      <c r="X85" s="99"/>
      <c r="Y85" s="99"/>
      <c r="Z85" s="102"/>
      <c r="AA85" s="99"/>
    </row>
    <row r="86" spans="1:256" s="94" customFormat="1" ht="33.75" customHeight="1" x14ac:dyDescent="0.2">
      <c r="A86" s="98"/>
      <c r="B86" s="97"/>
      <c r="C86" s="99"/>
      <c r="D86" s="100"/>
      <c r="E86" s="100"/>
      <c r="F86" s="101"/>
      <c r="G86" s="99"/>
      <c r="H86" s="99"/>
      <c r="I86" s="99"/>
      <c r="J86" s="99"/>
      <c r="K86" s="99"/>
      <c r="L86" s="102"/>
      <c r="M86" s="99"/>
      <c r="N86" s="99"/>
      <c r="O86" s="99"/>
      <c r="P86" s="99"/>
      <c r="Q86" s="102"/>
      <c r="R86" s="99"/>
      <c r="S86" s="102"/>
      <c r="T86" s="99"/>
      <c r="U86" s="99"/>
      <c r="V86" s="99"/>
      <c r="W86" s="102"/>
      <c r="X86" s="99"/>
      <c r="Y86" s="99"/>
      <c r="Z86" s="102"/>
      <c r="AA86" s="99"/>
    </row>
    <row r="87" spans="1:256" s="116" customFormat="1" ht="33.75" customHeight="1" thickBot="1" x14ac:dyDescent="0.3">
      <c r="A87" s="103"/>
      <c r="B87" s="104"/>
      <c r="C87" s="105"/>
      <c r="D87" s="106"/>
      <c r="E87" s="107"/>
      <c r="F87" s="108"/>
      <c r="G87" s="109"/>
      <c r="H87" s="109"/>
      <c r="I87" s="109"/>
      <c r="J87" s="109"/>
      <c r="K87" s="110"/>
      <c r="L87" s="111"/>
      <c r="M87" s="110"/>
      <c r="N87" s="112"/>
      <c r="O87" s="112"/>
      <c r="P87" s="112"/>
      <c r="Q87" s="113"/>
      <c r="R87" s="110"/>
      <c r="S87" s="111"/>
      <c r="T87" s="109"/>
      <c r="U87" s="114"/>
      <c r="V87" s="109"/>
      <c r="W87" s="115"/>
      <c r="X87" s="109"/>
      <c r="Y87" s="109"/>
      <c r="Z87" s="115"/>
      <c r="AA87" s="109"/>
      <c r="AB87" s="94"/>
      <c r="AC87" s="94"/>
      <c r="AD87" s="94"/>
      <c r="AE87" s="94"/>
      <c r="AF87" s="94"/>
      <c r="AG87" s="94"/>
    </row>
    <row r="88" spans="1:256" s="121" customFormat="1" ht="33.75" customHeight="1" thickTop="1" x14ac:dyDescent="0.25">
      <c r="A88" s="117"/>
      <c r="B88" s="118" t="s">
        <v>171</v>
      </c>
      <c r="C88" s="119"/>
      <c r="D88" s="120"/>
      <c r="E88" s="120"/>
      <c r="G88" s="118"/>
      <c r="H88" s="118"/>
      <c r="I88" s="122"/>
      <c r="J88" s="118"/>
      <c r="K88" s="118" t="s">
        <v>172</v>
      </c>
      <c r="L88" s="118"/>
      <c r="M88" s="117"/>
      <c r="N88" s="123"/>
      <c r="O88" s="124"/>
      <c r="P88" s="124"/>
      <c r="Q88" s="123"/>
      <c r="R88" s="117"/>
      <c r="S88" s="117"/>
      <c r="T88" s="116"/>
      <c r="U88" s="116"/>
      <c r="V88" s="116"/>
      <c r="W88" s="116"/>
      <c r="X88" s="116"/>
      <c r="Y88" s="116"/>
      <c r="Z88" s="116"/>
      <c r="AA88" s="117"/>
      <c r="AB88" s="116"/>
      <c r="AC88" s="116"/>
      <c r="AD88" s="116"/>
      <c r="AE88" s="116"/>
      <c r="AF88" s="116"/>
      <c r="AG88" s="116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7"/>
      <c r="GY88" s="117"/>
      <c r="GZ88" s="117"/>
      <c r="HA88" s="117"/>
      <c r="HB88" s="117"/>
      <c r="HC88" s="117"/>
      <c r="HD88" s="117"/>
      <c r="HE88" s="117"/>
      <c r="HF88" s="117"/>
      <c r="HG88" s="117"/>
      <c r="HH88" s="117"/>
      <c r="HI88" s="117"/>
      <c r="HJ88" s="117"/>
      <c r="HK88" s="117"/>
      <c r="HL88" s="117"/>
      <c r="HM88" s="117"/>
      <c r="HN88" s="117"/>
      <c r="HO88" s="117"/>
      <c r="HP88" s="117"/>
      <c r="HQ88" s="117"/>
      <c r="HR88" s="117"/>
      <c r="HS88" s="117"/>
      <c r="HT88" s="117"/>
      <c r="HU88" s="117"/>
      <c r="HV88" s="117"/>
      <c r="HW88" s="117"/>
      <c r="HX88" s="117"/>
      <c r="HY88" s="117"/>
      <c r="HZ88" s="117"/>
      <c r="IA88" s="117"/>
      <c r="IB88" s="117"/>
      <c r="IC88" s="117"/>
      <c r="ID88" s="117"/>
      <c r="IE88" s="117"/>
      <c r="IF88" s="117"/>
      <c r="IG88" s="117"/>
      <c r="IH88" s="117"/>
      <c r="II88" s="117"/>
      <c r="IJ88" s="117"/>
      <c r="IK88" s="117"/>
      <c r="IL88" s="117"/>
      <c r="IM88" s="117"/>
      <c r="IN88" s="117"/>
      <c r="IO88" s="117"/>
      <c r="IP88" s="117"/>
      <c r="IQ88" s="117"/>
      <c r="IR88" s="117"/>
      <c r="IS88" s="117"/>
      <c r="IT88" s="117"/>
      <c r="IU88" s="117"/>
      <c r="IV88" s="117"/>
    </row>
    <row r="89" spans="1:256" s="121" customFormat="1" ht="33.75" customHeight="1" x14ac:dyDescent="0.25">
      <c r="A89" s="117"/>
      <c r="B89" s="118" t="s">
        <v>173</v>
      </c>
      <c r="C89" s="125"/>
      <c r="D89" s="120"/>
      <c r="E89" s="120"/>
      <c r="G89" s="118"/>
      <c r="H89" s="118"/>
      <c r="I89" s="122"/>
      <c r="J89" s="118"/>
      <c r="K89" s="122" t="s">
        <v>174</v>
      </c>
      <c r="L89" s="118"/>
      <c r="M89" s="117"/>
      <c r="N89" s="124"/>
      <c r="O89" s="126"/>
      <c r="P89" s="126"/>
      <c r="Q89" s="126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  <c r="IU89" s="117"/>
      <c r="IV89" s="117"/>
    </row>
    <row r="90" spans="1:256" s="121" customFormat="1" ht="33.75" customHeight="1" x14ac:dyDescent="0.25">
      <c r="A90" s="117"/>
      <c r="B90" s="118" t="s">
        <v>175</v>
      </c>
      <c r="C90" s="118"/>
      <c r="D90" s="127"/>
      <c r="E90" s="127"/>
      <c r="G90" s="117"/>
      <c r="H90" s="117"/>
      <c r="I90" s="122"/>
      <c r="J90" s="117"/>
      <c r="K90" s="122" t="s">
        <v>176</v>
      </c>
      <c r="L90" s="117"/>
      <c r="M90" s="117"/>
      <c r="N90" s="128"/>
      <c r="O90" s="126"/>
      <c r="P90" s="123"/>
      <c r="Q90" s="123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  <c r="IU90" s="117"/>
      <c r="IV90" s="117"/>
    </row>
    <row r="91" spans="1:256" s="129" customFormat="1" ht="33.75" customHeight="1" x14ac:dyDescent="0.25">
      <c r="B91" s="122" t="s">
        <v>0</v>
      </c>
      <c r="C91" s="117"/>
      <c r="D91" s="130"/>
      <c r="E91" s="130"/>
      <c r="K91" s="122" t="s">
        <v>177</v>
      </c>
      <c r="P91" s="131"/>
      <c r="AB91" s="117"/>
      <c r="AC91" s="117"/>
      <c r="AD91" s="117"/>
      <c r="AE91" s="117"/>
      <c r="AF91" s="117"/>
      <c r="AG91" s="117"/>
    </row>
    <row r="92" spans="1:256" ht="33.75" customHeight="1" x14ac:dyDescent="0.2">
      <c r="B92" s="1" t="s">
        <v>178</v>
      </c>
      <c r="C92" s="129"/>
      <c r="O92" s="57"/>
      <c r="AB92" s="129"/>
      <c r="AC92" s="129"/>
      <c r="AD92" s="129"/>
      <c r="AE92" s="129"/>
      <c r="AF92" s="129"/>
      <c r="AG92" s="129"/>
    </row>
    <row r="93" spans="1:256" ht="33.75" customHeight="1" x14ac:dyDescent="0.2">
      <c r="O93" s="57"/>
    </row>
    <row r="95" spans="1:256" ht="33.75" customHeight="1" x14ac:dyDescent="0.2">
      <c r="O95" s="57"/>
    </row>
    <row r="96" spans="1:256" ht="33.75" customHeight="1" x14ac:dyDescent="0.2">
      <c r="O96" s="57"/>
    </row>
    <row r="99" spans="10:14" ht="33.75" customHeight="1" x14ac:dyDescent="0.2">
      <c r="J99" s="135"/>
      <c r="K99" s="135"/>
      <c r="L99" s="135"/>
      <c r="M99" s="135"/>
    </row>
    <row r="100" spans="10:14" ht="33.75" customHeight="1" x14ac:dyDescent="0.2">
      <c r="J100" s="135"/>
      <c r="K100" s="135"/>
      <c r="L100" s="135"/>
      <c r="M100" s="135"/>
    </row>
    <row r="101" spans="10:14" ht="33.75" customHeight="1" x14ac:dyDescent="0.2">
      <c r="J101" s="135"/>
      <c r="K101" s="135"/>
      <c r="L101" s="135"/>
      <c r="M101" s="135"/>
      <c r="N101" s="136"/>
    </row>
    <row r="102" spans="10:14" ht="33.75" customHeight="1" x14ac:dyDescent="0.2">
      <c r="J102" s="135"/>
      <c r="K102" s="135"/>
      <c r="L102" s="135"/>
      <c r="M102" s="135"/>
    </row>
    <row r="103" spans="10:14" ht="33.75" customHeight="1" x14ac:dyDescent="0.2">
      <c r="J103" s="135"/>
      <c r="K103" s="135"/>
      <c r="L103" s="135"/>
      <c r="M103" s="135"/>
    </row>
  </sheetData>
  <mergeCells count="33">
    <mergeCell ref="A1:AA1"/>
    <mergeCell ref="A2:AA2"/>
    <mergeCell ref="A3:AA3"/>
    <mergeCell ref="A4:AA4"/>
    <mergeCell ref="A6:A8"/>
    <mergeCell ref="B6:B8"/>
    <mergeCell ref="C6:C8"/>
    <mergeCell ref="D6:G6"/>
    <mergeCell ref="H6:H8"/>
    <mergeCell ref="I6:I8"/>
    <mergeCell ref="U6:U8"/>
    <mergeCell ref="J6:J8"/>
    <mergeCell ref="K6:K8"/>
    <mergeCell ref="L6:L8"/>
    <mergeCell ref="M6:M8"/>
    <mergeCell ref="N6:N8"/>
    <mergeCell ref="O6:O8"/>
    <mergeCell ref="D7:E7"/>
    <mergeCell ref="F7:F8"/>
    <mergeCell ref="G7:G8"/>
    <mergeCell ref="AB7:AD7"/>
    <mergeCell ref="AE7:AG7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</mergeCells>
  <pageMargins left="1.2204724409448819" right="0.82677165354330717" top="1.1417322834645669" bottom="1.1417322834645669" header="0.31496062992125984" footer="0.31496062992125984"/>
  <pageSetup paperSize="5" scale="43" fitToWidth="2" fitToHeight="2" orientation="landscape" horizontalDpi="4294967292" r:id="rId1"/>
  <colBreaks count="2" manualBreakCount="2">
    <brk id="11" max="102" man="1"/>
    <brk id="2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</vt:lpstr>
      <vt:lpstr>NOVIEM!Área_de_impresión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2019-02-07T15:34:36Z</dcterms:created>
  <dcterms:modified xsi:type="dcterms:W3CDTF">2019-03-08T21:43:11Z</dcterms:modified>
</cp:coreProperties>
</file>